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J12C392\Desktop\"/>
    </mc:Choice>
  </mc:AlternateContent>
  <bookViews>
    <workbookView xWindow="0" yWindow="432" windowWidth="17496" windowHeight="13152" tabRatio="729"/>
  </bookViews>
  <sheets>
    <sheet name="Introduction" sheetId="4" r:id="rId1"/>
    <sheet name="Biodiesel Production" sheetId="1" r:id="rId2"/>
    <sheet name="IncomeExp_CashFlow" sheetId="3" r:id="rId3"/>
  </sheets>
  <calcPr calcId="152511"/>
</workbook>
</file>

<file path=xl/calcChain.xml><?xml version="1.0" encoding="utf-8"?>
<calcChain xmlns="http://schemas.openxmlformats.org/spreadsheetml/2006/main">
  <c r="G7" i="1" l="1"/>
  <c r="G73" i="1" s="1"/>
  <c r="G5" i="1"/>
  <c r="G72" i="1"/>
  <c r="F72" i="1"/>
  <c r="G71" i="1"/>
  <c r="H20" i="3" s="1"/>
  <c r="G77" i="1"/>
  <c r="G13" i="1"/>
  <c r="G82" i="1" s="1"/>
  <c r="G93" i="1"/>
  <c r="G100" i="1"/>
  <c r="G99" i="1"/>
  <c r="G105" i="1"/>
  <c r="G104" i="1" s="1"/>
  <c r="F71" i="1"/>
  <c r="F77" i="1"/>
  <c r="F13" i="1"/>
  <c r="F82" i="1"/>
  <c r="F85" i="1"/>
  <c r="F93" i="1"/>
  <c r="F94" i="1"/>
  <c r="H21" i="3" s="1"/>
  <c r="F100" i="1"/>
  <c r="F99" i="1"/>
  <c r="F105" i="1"/>
  <c r="F104" i="1"/>
  <c r="F54" i="1"/>
  <c r="F58" i="1" s="1"/>
  <c r="F59" i="1"/>
  <c r="G59" i="1" s="1"/>
  <c r="D18" i="3" s="1"/>
  <c r="H18" i="3" s="1"/>
  <c r="G128" i="1"/>
  <c r="D22" i="3"/>
  <c r="H22" i="3" s="1"/>
  <c r="F128" i="1"/>
  <c r="C22" i="3"/>
  <c r="G22" i="3"/>
  <c r="G6" i="1"/>
  <c r="G14" i="1"/>
  <c r="G123" i="1"/>
  <c r="D9" i="3"/>
  <c r="D12" i="3" s="1"/>
  <c r="C4" i="3"/>
  <c r="G118" i="1"/>
  <c r="G113" i="1"/>
  <c r="G120" i="1"/>
  <c r="D10" i="3" s="1"/>
  <c r="H10" i="3" s="1"/>
  <c r="G131" i="1"/>
  <c r="D11" i="3"/>
  <c r="H11" i="3"/>
  <c r="D4" i="3"/>
  <c r="F14" i="1"/>
  <c r="F123" i="1"/>
  <c r="C9" i="3" s="1"/>
  <c r="F118" i="1"/>
  <c r="F113" i="1"/>
  <c r="F120" i="1" s="1"/>
  <c r="C10" i="3" s="1"/>
  <c r="G10" i="3" s="1"/>
  <c r="F131" i="1"/>
  <c r="C11" i="3"/>
  <c r="G11" i="3"/>
  <c r="D20" i="3"/>
  <c r="C3" i="3"/>
  <c r="D3" i="3"/>
  <c r="G70" i="1"/>
  <c r="G69" i="1"/>
  <c r="F60" i="1"/>
  <c r="G60" i="1"/>
  <c r="F66" i="1"/>
  <c r="F69" i="1"/>
  <c r="G8" i="1"/>
  <c r="C18" i="3"/>
  <c r="G18" i="3" s="1"/>
  <c r="C20" i="3"/>
  <c r="G20" i="3"/>
  <c r="F70" i="1"/>
  <c r="G107" i="1" l="1"/>
  <c r="D19" i="3" s="1"/>
  <c r="D13" i="3"/>
  <c r="C17" i="3"/>
  <c r="G58" i="1"/>
  <c r="D17" i="3" s="1"/>
  <c r="C12" i="3"/>
  <c r="G9" i="3"/>
  <c r="G12" i="3" s="1"/>
  <c r="H9" i="3"/>
  <c r="H12" i="3" s="1"/>
  <c r="C21" i="3"/>
  <c r="G21" i="3"/>
  <c r="G94" i="1"/>
  <c r="D21" i="3" s="1"/>
  <c r="F73" i="1"/>
  <c r="F107" i="1" s="1"/>
  <c r="F62" i="1"/>
  <c r="G85" i="1"/>
  <c r="C13" i="3" l="1"/>
  <c r="G13" i="3"/>
  <c r="G62" i="1"/>
  <c r="H25" i="3" s="1"/>
  <c r="G25" i="3"/>
  <c r="H19" i="3"/>
  <c r="H23" i="3" s="1"/>
  <c r="H26" i="3" s="1"/>
  <c r="H27" i="3" s="1"/>
  <c r="G19" i="3"/>
  <c r="G23" i="3" s="1"/>
  <c r="G26" i="3" s="1"/>
  <c r="G27" i="3" s="1"/>
  <c r="C19" i="3"/>
  <c r="C23" i="3" s="1"/>
  <c r="D23" i="3"/>
  <c r="D26" i="3"/>
  <c r="H13" i="3"/>
  <c r="H30" i="3" l="1"/>
  <c r="H31" i="3" s="1"/>
  <c r="C26" i="3"/>
  <c r="G30" i="3"/>
  <c r="G31" i="3" s="1"/>
  <c r="D27" i="3"/>
  <c r="D30" i="3"/>
  <c r="D31" i="3" s="1"/>
  <c r="C27" i="3" l="1"/>
  <c r="C30" i="3"/>
  <c r="C31" i="3" s="1"/>
</calcChain>
</file>

<file path=xl/comments1.xml><?xml version="1.0" encoding="utf-8"?>
<comments xmlns="http://schemas.openxmlformats.org/spreadsheetml/2006/main">
  <authors>
    <author>Duane Griffith</author>
  </authors>
  <commentList>
    <comment ref="A11" authorId="0" shapeId="0">
      <text>
        <r>
          <rPr>
            <sz val="10"/>
            <color indexed="81"/>
            <rFont val="Tahoma"/>
            <family val="2"/>
          </rPr>
          <t>Small scale biodiesel processing is done in batches.  These batches may be as small as 10 gallons per batch or over 200 gallons per batch.  Enter the batch size (in gallons) of the processor on this line.</t>
        </r>
      </text>
    </comment>
    <comment ref="A12" authorId="0" shapeId="0">
      <text>
        <r>
          <rPr>
            <sz val="12"/>
            <color indexed="81"/>
            <rFont val="Tahoma"/>
            <family val="2"/>
          </rPr>
          <t>Enter the number of gallons of oil purchased or collected.  Possible sources may included waste vegetable oil or virgin oil purchased from a commercial processor.</t>
        </r>
      </text>
    </comment>
    <comment ref="A17" authorId="0" shapeId="0">
      <text>
        <r>
          <rPr>
            <sz val="12"/>
            <color indexed="81"/>
            <rFont val="Tahoma"/>
            <family val="2"/>
          </rPr>
          <t>The cost per gallon of any oil purchased.  Include collection costs, delivery costs, pretreatment costs and the purchase price.</t>
        </r>
      </text>
    </comment>
    <comment ref="A19" authorId="0" shapeId="0">
      <text>
        <r>
          <rPr>
            <sz val="12"/>
            <color indexed="81"/>
            <rFont val="Tahoma"/>
            <family val="2"/>
          </rPr>
          <t>Catalyst is often purchased in 50 or 100 pound bags.  Enter the price per pound in the cell.  The worksheet will then calculate the total cost of catalyst used based on the proportions entered above.</t>
        </r>
      </text>
    </comment>
    <comment ref="A23" authorId="0" shapeId="0">
      <text>
        <r>
          <rPr>
            <sz val="12"/>
            <color indexed="81"/>
            <rFont val="Tahoma"/>
            <family val="2"/>
          </rPr>
          <t>Sample batches are often produced before each batch of biodiesel is produced on a larger scale.  These batches allow for adjustments to the alcohol and catalyst mix to be completed before ruining a 40 to 100 gallon batch of oil.  These test batches require small amounts of catalyst and alcohol to measured accurately to ensure the proper proportions will be used for the larger batch.  This requires an small but accurate scale.</t>
        </r>
      </text>
    </comment>
    <comment ref="A24" authorId="0" shapeId="0">
      <text>
        <r>
          <rPr>
            <sz val="12"/>
            <color indexed="81"/>
            <rFont val="Tahoma"/>
            <family val="2"/>
          </rPr>
          <t>Once the proper proportions have been determined using the smaller more accurate scale the proportions need to be measured for the larger biodiesel batch to be processed.  This scale does not need to be as accurate but it does need to measure larger quantities than the small scale.</t>
        </r>
      </text>
    </comment>
    <comment ref="A25" authorId="0" shapeId="0">
      <text>
        <r>
          <rPr>
            <sz val="12"/>
            <color indexed="81"/>
            <rFont val="Tahoma"/>
            <family val="2"/>
          </rPr>
          <t>Some companies sell titration kits, these kits may include 1000 mL, 250 mL and 4 100mL graduated cylinders, funnel, mechanical scale, disposable graduated pipettes, syringes, chemical droppers, rubber gloves, safety glasses and other lab equipment.  Because the contents of these kits varies, three inputs lines (Other #1, 2 &amp; 3) have been  provided to enter additional lab equipment purchases.</t>
        </r>
      </text>
    </comment>
    <comment ref="A26" authorId="0" shapeId="0">
      <text>
        <r>
          <rPr>
            <sz val="12"/>
            <color indexed="81"/>
            <rFont val="Tahoma"/>
            <family val="2"/>
          </rPr>
          <t>Working with chemicals (the catalyst and methanol) require safety equipment to ensure the operator is not injured.  This safety equipment may include goggles, glasses, gloves, apron eye wash equipment and possibly other safety equipment.  Enter the cost of this equipment here.</t>
        </r>
      </text>
    </comment>
    <comment ref="A27" authorId="0" shapeId="0">
      <text>
        <r>
          <rPr>
            <sz val="12"/>
            <color indexed="81"/>
            <rFont val="Tahoma"/>
            <family val="2"/>
          </rPr>
          <t>Due to the flammable nature of methanol, vegetable oil, and biodiesel fire safety is an important aspect of biodiesel production. Enter the cost of any fire safety equipment on this line.</t>
        </r>
      </text>
    </comment>
    <comment ref="A30" authorId="0" shapeId="0">
      <text>
        <r>
          <rPr>
            <sz val="12"/>
            <color indexed="81"/>
            <rFont val="Tahoma"/>
            <family val="2"/>
          </rPr>
          <t>Enter the cost of installing a oil filter to filter the unprocessed vegetable oil.  This includes any plumbing, fittings and the cost of the first filter.  The cost of replacement filters will be entered in the operating cost section of this tab of the worksheet.</t>
        </r>
      </text>
    </comment>
    <comment ref="A38" authorId="0" shapeId="0">
      <text>
        <r>
          <rPr>
            <sz val="12"/>
            <color indexed="81"/>
            <rFont val="Tahoma"/>
            <family val="2"/>
          </rPr>
          <t>Biodiesel processors can be purchased as "ready to use" units.  Not all ready to use processors include the same equipment.  Enter the cost of the "ready to use" unit here and any additional equipment purchased on the lines below.</t>
        </r>
      </text>
    </comment>
    <comment ref="A39" authorId="0" shapeId="0">
      <text>
        <r>
          <rPr>
            <sz val="12"/>
            <color indexed="81"/>
            <rFont val="Tahoma"/>
            <family val="2"/>
          </rPr>
          <t>If you choose not to purchase a "ready to use" processor then you will need to purchase each of the components to build your processor.  Enter the cost of the main reaction tank here.</t>
        </r>
      </text>
    </comment>
    <comment ref="A40" authorId="0" shapeId="0">
      <text>
        <r>
          <rPr>
            <sz val="12"/>
            <color indexed="81"/>
            <rFont val="Tahoma"/>
            <family val="2"/>
          </rPr>
          <t>Few ready to use processors are sold with equipment to recover the excess methanol used in the process. If you choose to purchase this equipment, enter the cost here.</t>
        </r>
      </text>
    </comment>
    <comment ref="A41" authorId="0" shapeId="0">
      <text>
        <r>
          <rPr>
            <sz val="12"/>
            <color indexed="81"/>
            <rFont val="Tahoma"/>
            <family val="2"/>
          </rPr>
          <t>After the transesterfication process is complete the glycerin and the biodiesel will both be in the reaction tank. Some small scale processors use gravity to separate the heavier glycerin from the biodiesel.  Other will purchase a centrifuge or other equipment to increase the speed of the process and the quality of the separation. Enter the cost of any separation equipment here.</t>
        </r>
      </text>
    </comment>
    <comment ref="A42" authorId="0" shapeId="0">
      <text>
        <r>
          <rPr>
            <sz val="12"/>
            <color indexed="81"/>
            <rFont val="Tahoma"/>
            <family val="2"/>
          </rPr>
          <t>After the transesterfication process and the initial biodiesel/glycerin separation the biodiesel is often washed to remove impurities.  This equipment may or may not be included with a "ready to use" processor".  Enter the cost of any biodiesel washing equipment here.</t>
        </r>
      </text>
    </comment>
    <comment ref="A43" authorId="0" shapeId="0">
      <text>
        <r>
          <rPr>
            <sz val="12"/>
            <color indexed="81"/>
            <rFont val="Tahoma"/>
            <family val="2"/>
          </rPr>
          <t>The biodiesel washing process often involves adding water to the biodiesel.  After the water has been drained from the biodiesel some water still remains in the fuel.  To remove this water the biodiesel can be dried.  Enter the cost of any equipment purchased to dry the biodiesel here.</t>
        </r>
      </text>
    </comment>
    <comment ref="A45" authorId="0" shapeId="0">
      <text>
        <r>
          <rPr>
            <sz val="12"/>
            <color indexed="81"/>
            <rFont val="Tahoma"/>
            <family val="2"/>
          </rPr>
          <t>Enter the cost of additional equipment purchased to process the biodiesel.  This may include: tank heaters, pumps, tables, tank stands, etc.</t>
        </r>
      </text>
    </comment>
    <comment ref="A52" authorId="0" shapeId="0">
      <text>
        <r>
          <rPr>
            <sz val="12"/>
            <color indexed="81"/>
            <rFont val="Tahoma"/>
            <family val="2"/>
          </rPr>
          <t>Enter the cost of additional equipment purchased pump the finished biodiesel in a vehicle.</t>
        </r>
      </text>
    </comment>
    <comment ref="A56" authorId="0" shapeId="0">
      <text>
        <r>
          <rPr>
            <sz val="12"/>
            <color indexed="81"/>
            <rFont val="Tahoma"/>
            <family val="2"/>
          </rPr>
          <t>The interest rate and the length of the loan are assumed to be the same for the oilseed crushing equipment.  To change these values, go to the oilseed crushing tab of this worksheet.</t>
        </r>
      </text>
    </comment>
    <comment ref="A75" authorId="0" shapeId="0">
      <text>
        <r>
          <rPr>
            <sz val="12"/>
            <color indexed="81"/>
            <rFont val="Tahoma"/>
            <family val="2"/>
          </rPr>
          <t>The biodiesel produced needs to be filtered after the reaction process is complete.  These filters will required replacement on a regular basis.  Enter the cost of a replacement filter and the expected number of gallons processed between each replacement.</t>
        </r>
      </text>
    </comment>
    <comment ref="A80" authorId="0" shapeId="0">
      <text>
        <r>
          <rPr>
            <b/>
            <sz val="12"/>
            <color indexed="81"/>
            <rFont val="Tahoma"/>
            <family val="2"/>
          </rPr>
          <t>P</t>
        </r>
        <r>
          <rPr>
            <sz val="12"/>
            <color indexed="81"/>
            <rFont val="Tahoma"/>
            <family val="2"/>
          </rPr>
          <t>rior to processing each batch a titration test is performed to allow for adjustments to the quantities of alcohol and catalyst needed for the transesterfication process.  Each titration test will use a small amount of Phenolphthalein solution.  Enter the cost and size of the Phenolphthalein (1% solution) here.  The worksheet will then calculate the cost for each 100 gallons produced.</t>
        </r>
      </text>
    </comment>
    <comment ref="A84" authorId="0" shapeId="0">
      <text>
        <r>
          <rPr>
            <sz val="12"/>
            <color indexed="81"/>
            <rFont val="Tahoma"/>
            <family val="2"/>
          </rPr>
          <t>The spreadsheet assumes that a set of three syringes will last for 20 titration tests.  Enter the cost a single syringe here.</t>
        </r>
      </text>
    </comment>
    <comment ref="A86" authorId="0" shapeId="0">
      <text>
        <r>
          <rPr>
            <sz val="12"/>
            <color indexed="81"/>
            <rFont val="Tahoma"/>
            <family val="2"/>
          </rPr>
          <t>Enter the annual cost of all other lab supplies here.  These costs may include: rubber gloves, safety glasses, lab coats, paper towels, mixing beakers, etc.</t>
        </r>
      </text>
    </comment>
    <comment ref="A87" authorId="0" shapeId="0">
      <text>
        <r>
          <rPr>
            <sz val="12"/>
            <color indexed="81"/>
            <rFont val="Tahoma"/>
            <family val="2"/>
          </rPr>
          <t>Enter the annual cost of any fuel additives purchased.</t>
        </r>
      </text>
    </comment>
    <comment ref="A90" authorId="0" shapeId="0">
      <text>
        <r>
          <rPr>
            <sz val="12"/>
            <color indexed="81"/>
            <rFont val="Tahoma"/>
            <family val="2"/>
          </rPr>
          <t>The hourly labor rate is assumed to be the same as the rate paid for oilseed processing.</t>
        </r>
      </text>
    </comment>
    <comment ref="A94" authorId="0" shapeId="0">
      <text>
        <r>
          <rPr>
            <sz val="12"/>
            <color indexed="81"/>
            <rFont val="Times New Roman"/>
            <family val="1"/>
          </rPr>
          <t xml:space="preserve">The hourly labor rate is assumed to be the same as the rate paid for oilseed processing.  Annual labor costs are estimated using an economic approach, i.e. using the value of labor, which may be the opportunity costs of labor used in this process.  See the IncomeExp_CashFlow tab of this spreadsheet to look at the differences between economic value and estimated actual out of pocket cash flow analysis. </t>
        </r>
      </text>
    </comment>
    <comment ref="A97" authorId="0" shapeId="0">
      <text>
        <r>
          <rPr>
            <sz val="12"/>
            <color indexed="81"/>
            <rFont val="Tahoma"/>
            <family val="2"/>
          </rPr>
          <t>Enter the cost of performing a fuel quality test or the cost of having a lab perform a test for you. A lab may charge over $1,000 per sample to certify the sample has met ASTM standards.</t>
        </r>
      </text>
    </comment>
    <comment ref="A98" authorId="0" shapeId="0">
      <text>
        <r>
          <rPr>
            <sz val="12"/>
            <color indexed="81"/>
            <rFont val="Tahoma"/>
            <family val="2"/>
          </rPr>
          <t>Enter how frequently this test will be performed.  Enter a one of the test will be performed on every batch of fuel; Enter a 3 if the test will be performed on every third batch of fuel.</t>
        </r>
      </text>
    </comment>
    <comment ref="A102" authorId="0" shapeId="0">
      <text>
        <r>
          <rPr>
            <sz val="12"/>
            <color indexed="81"/>
            <rFont val="Tahoma"/>
            <family val="2"/>
          </rPr>
          <t>Enter the cost of performing a fuel quality test or the cost of having a lab perform a test for you. A lab may charge over $1,000 per sample to certify the sample has met ASTM standards.</t>
        </r>
      </text>
    </comment>
    <comment ref="A103" authorId="0" shapeId="0">
      <text>
        <r>
          <rPr>
            <sz val="12"/>
            <color indexed="81"/>
            <rFont val="Tahoma"/>
            <family val="2"/>
          </rPr>
          <t>Enter how frequently this test will be performed.  Enter a one of the test will be performed on every batch of fuel; Enter a 3 if the test will be performed on every third batch of fuel.</t>
        </r>
      </text>
    </comment>
    <comment ref="A111" authorId="0" shapeId="0">
      <text>
        <r>
          <rPr>
            <sz val="12"/>
            <color indexed="81"/>
            <rFont val="Tahoma"/>
            <family val="2"/>
          </rPr>
          <t>Enter the total subsidies received from the federal government for each gallon of biodiesel produced.  These subsidies may include the Biodiesel Blenders Tax Credit ($1.00 per gallon blended if produced from virgin oil or $0.50 per gallon blended if produced from recycled oil) and the Small Producer Tax Credit of $0.10 per gallon produced.  For more information refer to AMPC Policy Issues Paper number 16 (available at www.ampc.montana.edu).</t>
        </r>
      </text>
    </comment>
    <comment ref="A112" authorId="0" shapeId="0">
      <text>
        <r>
          <rPr>
            <sz val="12"/>
            <color indexed="81"/>
            <rFont val="Tahoma"/>
            <family val="2"/>
          </rPr>
          <t>Enter any state subsidies received for biodiesel production that are based on the number of gallons produced.  This may include the $0.10 per gallon incentive described in MCA 15-70-601 or other state programs.</t>
        </r>
      </text>
    </comment>
    <comment ref="A115" authorId="0" shapeId="0">
      <text>
        <r>
          <rPr>
            <sz val="12"/>
            <color indexed="81"/>
            <rFont val="Tahoma"/>
            <family val="2"/>
          </rPr>
          <t>Enter the annual subsidy received for biodiesel related activities.  These subsidies may include grants or tax credits. Do not include subsidies based on each gallon produced.</t>
        </r>
      </text>
    </comment>
    <comment ref="A116" authorId="0" shapeId="0">
      <text>
        <r>
          <rPr>
            <sz val="12"/>
            <color indexed="81"/>
            <rFont val="Tahoma"/>
            <family val="2"/>
          </rPr>
          <t>Enter the annual subsidies received from the state for biodiesel related activities.  This may include tax credits, tax exemptions, and grants.  Do not enter any credits based on production levels.</t>
        </r>
      </text>
    </comment>
    <comment ref="A122" authorId="0" shapeId="0">
      <text>
        <r>
          <rPr>
            <sz val="12"/>
            <color indexed="81"/>
            <rFont val="Tahoma"/>
            <family val="2"/>
          </rPr>
          <t>Enter the price received for any glycerin sold.  Or the value of the glycerin if used on farm (for example if the glycerin is used as a heating oil).  Enter zero if the glycerin is not sold or used on farm.</t>
        </r>
      </text>
    </comment>
    <comment ref="A126" authorId="0" shapeId="0">
      <text>
        <r>
          <rPr>
            <sz val="12"/>
            <color indexed="81"/>
            <rFont val="Tahoma"/>
            <family val="2"/>
          </rPr>
          <t>The federal fuel tax for diesel and biodiesel fuel is 24.4 cents per gallon.</t>
        </r>
      </text>
    </comment>
    <comment ref="A127" authorId="0" shapeId="0">
      <text>
        <r>
          <rPr>
            <sz val="12"/>
            <color indexed="81"/>
            <rFont val="Tahoma"/>
            <family val="2"/>
          </rPr>
          <t>The Montana fuel tax for diesel and biodiesel fuel is 28.5 cents per gallon.</t>
        </r>
      </text>
    </comment>
  </commentList>
</comments>
</file>

<file path=xl/comments2.xml><?xml version="1.0" encoding="utf-8"?>
<comments xmlns="http://schemas.openxmlformats.org/spreadsheetml/2006/main">
  <authors>
    <author>Duane Griffith</author>
  </authors>
  <commentList>
    <comment ref="A6" authorId="0" shapeId="0">
      <text>
        <r>
          <rPr>
            <sz val="12"/>
            <color indexed="81"/>
            <rFont val="Times New Roman"/>
            <family val="1"/>
          </rPr>
          <t>This analysis uses a Financial Approach, including only cash inflows and outflows.  Some cash outflows may not be expenses, like principal payments on capital assets.  Some expenses may not be cash outflows, like depreciation on capital assets.</t>
        </r>
      </text>
    </comment>
    <comment ref="I6" authorId="0" shapeId="0">
      <text>
        <r>
          <rPr>
            <sz val="12"/>
            <color indexed="81"/>
            <rFont val="Times New Roman"/>
            <family val="1"/>
          </rPr>
          <t xml:space="preserve">This analysis uses an Economic approach, which includes the opportunity costs of resources used as well as some of the cash inflows and outflows.  </t>
        </r>
      </text>
    </comment>
    <comment ref="I21" authorId="0" shapeId="0">
      <text>
        <r>
          <rPr>
            <sz val="12"/>
            <color indexed="81"/>
            <rFont val="Times New Roman"/>
            <family val="1"/>
          </rPr>
          <t>Uses opportunity costs of labor</t>
        </r>
      </text>
    </comment>
    <comment ref="A27" authorId="0" shapeId="0">
      <text>
        <r>
          <rPr>
            <sz val="12"/>
            <color indexed="81"/>
            <rFont val="Times New Roman"/>
            <family val="1"/>
          </rPr>
          <t xml:space="preserve">Since this sheet includes adjustments to information that is shown on the Oilseed Crushing and Biodiesel Production Tabs, the per gallon costs may not be the same as those calculated on the other sheets. 
</t>
        </r>
      </text>
    </comment>
  </commentList>
</comments>
</file>

<file path=xl/sharedStrings.xml><?xml version="1.0" encoding="utf-8"?>
<sst xmlns="http://schemas.openxmlformats.org/spreadsheetml/2006/main" count="216" uniqueCount="157">
  <si>
    <t>Re-Action Tank:</t>
  </si>
  <si>
    <t>Lab Equipment:</t>
  </si>
  <si>
    <t>Methanol recovery system:</t>
  </si>
  <si>
    <t>Biodiesel washing equipment</t>
  </si>
  <si>
    <t>Biodiesel drying equipment</t>
  </si>
  <si>
    <t>Oil</t>
  </si>
  <si>
    <t>Methanol</t>
  </si>
  <si>
    <t>Catalyst</t>
  </si>
  <si>
    <t>Interest Rate on Capital Investment</t>
  </si>
  <si>
    <t>Methanol (per gallon)</t>
  </si>
  <si>
    <t>Catalyst (per lbs.)</t>
  </si>
  <si>
    <t>Cost</t>
  </si>
  <si>
    <t>Material Storage Equipment</t>
  </si>
  <si>
    <t>Processing Equipment</t>
  </si>
  <si>
    <t>Final Product Storage Equipment</t>
  </si>
  <si>
    <t>Lab Scale (accuracy 0.01 grams)</t>
  </si>
  <si>
    <t>Lab Scale (accuracy 1.00 grams)</t>
  </si>
  <si>
    <t>Titration Kit</t>
  </si>
  <si>
    <t>Lab Chemicals</t>
  </si>
  <si>
    <t>Incoming oil filter</t>
  </si>
  <si>
    <t>Safety Equipment</t>
  </si>
  <si>
    <t>Fire Safety</t>
  </si>
  <si>
    <t xml:space="preserve">Valves and plumbing </t>
  </si>
  <si>
    <t>Methanol Storage:</t>
  </si>
  <si>
    <t>Ready to Use Processor</t>
  </si>
  <si>
    <t>Biodiesel/Glycerin Separation system</t>
  </si>
  <si>
    <t>Length of Loan (years)</t>
  </si>
  <si>
    <t>Annual Loan Payment</t>
  </si>
  <si>
    <t>Biodiesel Fueling Pump</t>
  </si>
  <si>
    <t>Input Costs</t>
  </si>
  <si>
    <t>Subsidies</t>
  </si>
  <si>
    <t>Federal Fuel Tax</t>
  </si>
  <si>
    <t>Montana Fuel Tax</t>
  </si>
  <si>
    <t>Total Glycerin Revenue</t>
  </si>
  <si>
    <t>Fuel Additive</t>
  </si>
  <si>
    <t xml:space="preserve">   Government Payments</t>
  </si>
  <si>
    <t>Cash Outflows</t>
  </si>
  <si>
    <t>Cash Inflows</t>
  </si>
  <si>
    <t xml:space="preserve"> Biodiesel Processing</t>
  </si>
  <si>
    <t>Total Inflows</t>
  </si>
  <si>
    <t>Net Cash Flow</t>
  </si>
  <si>
    <t>Expenses</t>
  </si>
  <si>
    <t>Income</t>
  </si>
  <si>
    <t>Total Income</t>
  </si>
  <si>
    <t>Total Operating Expenses</t>
  </si>
  <si>
    <t>Total Expenses</t>
  </si>
  <si>
    <t>Biodiesel Proportions</t>
  </si>
  <si>
    <t>Biodiesel Production Worksheet</t>
  </si>
  <si>
    <t>Help</t>
  </si>
  <si>
    <r>
      <t xml:space="preserve">Current </t>
    </r>
    <r>
      <rPr>
        <sz val="10"/>
        <rFont val="Arial"/>
      </rPr>
      <t>Petroleum Diesel Price (including taxes)</t>
    </r>
  </si>
  <si>
    <t>Annual Principal Payment</t>
  </si>
  <si>
    <t>Annual Interest  Payment</t>
  </si>
  <si>
    <t>Other #1</t>
  </si>
  <si>
    <t>Total Annual Taxes on Equipment/Capital Assets</t>
  </si>
  <si>
    <t>Added Annual Insurance on Equipment/Farm Coverage</t>
  </si>
  <si>
    <t>Number of batches required to process oil</t>
  </si>
  <si>
    <t>Parts in Mix</t>
  </si>
  <si>
    <t>Percent of Mix</t>
  </si>
  <si>
    <r>
      <t>Fill in all information in</t>
    </r>
    <r>
      <rPr>
        <b/>
        <sz val="10"/>
        <rFont val="Arial"/>
        <family val="2"/>
      </rPr>
      <t xml:space="preserve"> </t>
    </r>
    <r>
      <rPr>
        <b/>
        <sz val="10"/>
        <color indexed="12"/>
        <rFont val="Arial"/>
        <family val="2"/>
      </rPr>
      <t>blue text</t>
    </r>
    <r>
      <rPr>
        <b/>
        <sz val="10"/>
        <rFont val="Arial"/>
        <family val="2"/>
      </rPr>
      <t xml:space="preserve"> </t>
    </r>
    <r>
      <rPr>
        <sz val="10"/>
        <rFont val="Arial"/>
      </rPr>
      <t>that applies to this analysis</t>
    </r>
  </si>
  <si>
    <t xml:space="preserve">Other #1 </t>
  </si>
  <si>
    <r>
      <t>Glycerin Revenue</t>
    </r>
    <r>
      <rPr>
        <sz val="10"/>
        <rFont val="Arial"/>
        <family val="2"/>
      </rPr>
      <t xml:space="preserve"> Per Gallon</t>
    </r>
  </si>
  <si>
    <t>Annual Gallons of Glycerin Produced as a by-product</t>
  </si>
  <si>
    <t>Processor Size, Gallons Per Batch</t>
  </si>
  <si>
    <t>Depreciation on Equipment (7 year straight line, zero salvage)</t>
  </si>
  <si>
    <t>Operating Costs (Variable Costs)</t>
  </si>
  <si>
    <t>Total Equipment Purchase Cost</t>
  </si>
  <si>
    <t xml:space="preserve">    Loan Principal Payment</t>
  </si>
  <si>
    <t xml:space="preserve">    Loan Interest Payment</t>
  </si>
  <si>
    <t>Total Cash Outflows</t>
  </si>
  <si>
    <t>Cash Flow and Income Expense (Net Income) Comparison</t>
  </si>
  <si>
    <t>Batch Size--Gallons Per Batch</t>
  </si>
  <si>
    <t>Pump #1 (Pumps unprocessed oil into the processor)</t>
  </si>
  <si>
    <t>Biodiesel Storage Tanks</t>
  </si>
  <si>
    <t xml:space="preserve"> </t>
  </si>
  <si>
    <t>Cost of replacement filter</t>
  </si>
  <si>
    <t>Number of gallons processed by each filter</t>
  </si>
  <si>
    <t>Annual Cost of all other lab supplies</t>
  </si>
  <si>
    <t>Methanol Cost (Annual)</t>
  </si>
  <si>
    <t>Catalyst Cost (Annual)</t>
  </si>
  <si>
    <t>Annual Filter Cost</t>
  </si>
  <si>
    <t>Annual Phenolphthalein Cost</t>
  </si>
  <si>
    <t>Size of Phenolphthalein Bottle (measured in mL)</t>
  </si>
  <si>
    <t>Cost of Phenolphthalein  (1% Solution)</t>
  </si>
  <si>
    <t>Cost of Titration Syringe (one)</t>
  </si>
  <si>
    <t>Labor Hours per batch</t>
  </si>
  <si>
    <t xml:space="preserve">    Labor Costs</t>
  </si>
  <si>
    <t>Federal Subsidies Per Gallon</t>
  </si>
  <si>
    <t>State Subsidies Per Gallon</t>
  </si>
  <si>
    <t>Total Per Gallon</t>
  </si>
  <si>
    <t>Total Subsides</t>
  </si>
  <si>
    <t>Catalyst Storage:</t>
  </si>
  <si>
    <t>Glycerin Storage Tanks</t>
  </si>
  <si>
    <t>Annual Syringe Cost</t>
  </si>
  <si>
    <t>Reduced Petroleum Diesel Expense</t>
  </si>
  <si>
    <t xml:space="preserve">   Glycerin Sales</t>
  </si>
  <si>
    <t>*Note: uses 7 year straight line depreciation</t>
  </si>
  <si>
    <t>Net Operating Income</t>
  </si>
  <si>
    <t>Fuel Quality Testing</t>
  </si>
  <si>
    <t>Frequency of Test #1</t>
  </si>
  <si>
    <t>Cost of Test #2</t>
  </si>
  <si>
    <t>Frequency of Test #2</t>
  </si>
  <si>
    <t xml:space="preserve">  Cost per gallon of fuel</t>
  </si>
  <si>
    <t>Cost of Test #1</t>
  </si>
  <si>
    <t xml:space="preserve">  Annual Cost of Test #1</t>
  </si>
  <si>
    <t xml:space="preserve">  Annual Cost of Test #2</t>
  </si>
  <si>
    <t>Government Payments</t>
  </si>
  <si>
    <t>Cost of Purchased Oil</t>
  </si>
  <si>
    <t>Gallons of Oil Purchased</t>
  </si>
  <si>
    <t>Purchased Oil Cost (Annual)</t>
  </si>
  <si>
    <r>
      <t xml:space="preserve">Purchase Cost of </t>
    </r>
    <r>
      <rPr>
        <b/>
        <sz val="10"/>
        <color indexed="10"/>
        <rFont val="Arial"/>
        <family val="2"/>
      </rPr>
      <t>Biodiesel Production</t>
    </r>
    <r>
      <rPr>
        <b/>
        <sz val="10"/>
        <rFont val="Arial"/>
        <family val="2"/>
      </rPr>
      <t xml:space="preserve"> Equipment (Fixed Costs)</t>
    </r>
  </si>
  <si>
    <t>Total Annual Operating Costs for Biodiesel Processing</t>
  </si>
  <si>
    <t>Depreciation*</t>
  </si>
  <si>
    <t>Percent of labor costs paid as cash wages</t>
  </si>
  <si>
    <t>Hourly Labor Rate (cash paid or value of)</t>
  </si>
  <si>
    <t>Economic Value of Labor Cost per batch</t>
  </si>
  <si>
    <t>Annual Labor Cost (economic value)</t>
  </si>
  <si>
    <t xml:space="preserve">Income/Expense Analysis -- Uses Economic Analysis </t>
  </si>
  <si>
    <t>Cash Flow Analysis -- Financial Analysis Approach</t>
  </si>
  <si>
    <r>
      <t xml:space="preserve">Depreciation </t>
    </r>
    <r>
      <rPr>
        <sz val="10"/>
        <color indexed="10"/>
        <rFont val="Arial"/>
        <family val="2"/>
      </rPr>
      <t>(not a cash expense)</t>
    </r>
  </si>
  <si>
    <t>Total Operating Cash Outflows</t>
  </si>
  <si>
    <t>Cash Outflow Per Gallon</t>
  </si>
  <si>
    <t>Net Cash Flow Per Gallon</t>
  </si>
  <si>
    <t>Total Expense Per Gallon</t>
  </si>
  <si>
    <t>Net Operating Income Per Gallon</t>
  </si>
  <si>
    <t xml:space="preserve">    Fuel Taxes</t>
  </si>
  <si>
    <t xml:space="preserve">   Diesel Sales (cost reduction)</t>
  </si>
  <si>
    <t>Cash Inflow Per Gallon</t>
  </si>
  <si>
    <t>Other Annual Equipment Costs</t>
  </si>
  <si>
    <t>Oil Storage Tank</t>
  </si>
  <si>
    <t>300 Gallon Tank</t>
  </si>
  <si>
    <t>Total Gallons</t>
  </si>
  <si>
    <t xml:space="preserve">    Oil costs</t>
  </si>
  <si>
    <t xml:space="preserve">    Operating Costs (Excluding Labor &amp; Oil)</t>
  </si>
  <si>
    <t>Other Federal Program Support (Annual)</t>
  </si>
  <si>
    <t>Other State Program Support (Annual)</t>
  </si>
  <si>
    <t>Other Program Support (Annual)</t>
  </si>
  <si>
    <t>Total</t>
  </si>
  <si>
    <t>All Other Equipment</t>
  </si>
  <si>
    <t>Annual Repair Cost</t>
  </si>
  <si>
    <t>Year 1</t>
  </si>
  <si>
    <t>Year 2</t>
  </si>
  <si>
    <t>Miscellaneous</t>
  </si>
  <si>
    <t>Total Fuel Taxes</t>
  </si>
  <si>
    <t>** This research was supported by Agricultural Marketing Resource Center at Iowa State University Extension</t>
  </si>
  <si>
    <t>Developed by:</t>
  </si>
  <si>
    <t>Joel Schumacher</t>
  </si>
  <si>
    <t>Associate Specialist</t>
  </si>
  <si>
    <t>Montana State University Extension</t>
  </si>
  <si>
    <t>jschumacher@montana.edu</t>
  </si>
  <si>
    <t>406-994-6637</t>
  </si>
  <si>
    <t>Purpose:</t>
  </si>
  <si>
    <t>Small Scale Biodiesel Production</t>
  </si>
  <si>
    <t>The goal of this tool is to allow potential small scale biodiesel producers to forcast the economics small scale biodiesel production.  The first page allows users to input data about input costs (oil, alcohol, equipment and labor) and market prices for the final products (biodiesel and glycerin).  The first page is populated with sample data based on other small scale operations.  Users are encouraged to enter in their own information.  The second page displays the cash flow implications and an income/expense type analysis.</t>
  </si>
  <si>
    <t>*** The worksheet was developed by Joel Schumacher, Associate Specialist, Montana State University Extension.</t>
  </si>
  <si>
    <t>Contact: jschumacher@montana.edu or 406-994-6637</t>
  </si>
  <si>
    <t>Cash Flow and Income/Expense</t>
  </si>
  <si>
    <t>Estimatation Tool</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</si>
</sst>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_);[Red]\(&quot;$&quot;#,##0\)"/>
    <numFmt numFmtId="8" formatCode="&quot;$&quot;#,##0.00_);[Red]\(&quot;$&quot;#,##0.00\)"/>
    <numFmt numFmtId="164" formatCode="&quot;$&quot;#,##0.00"/>
    <numFmt numFmtId="165" formatCode="&quot;$&quot;#,##0.000"/>
    <numFmt numFmtId="166" formatCode="0.0%"/>
    <numFmt numFmtId="167" formatCode="&quot;$&quot;#,##0"/>
  </numFmts>
  <fonts count="25" x14ac:knownFonts="1">
    <font>
      <sz val="10"/>
      <name val="Arial"/>
    </font>
    <font>
      <sz val="10"/>
      <name val="Arial"/>
    </font>
    <font>
      <b/>
      <sz val="10"/>
      <name val="Arial"/>
      <family val="2"/>
    </font>
    <font>
      <b/>
      <u/>
      <sz val="10"/>
      <name val="Arial"/>
      <family val="2"/>
    </font>
    <font>
      <sz val="8"/>
      <name val="Arial"/>
    </font>
    <font>
      <sz val="10"/>
      <name val="Arial"/>
      <family val="2"/>
    </font>
    <font>
      <i/>
      <u/>
      <sz val="10"/>
      <name val="Arial"/>
      <family val="2"/>
    </font>
    <font>
      <u/>
      <sz val="10"/>
      <name val="Arial"/>
    </font>
    <font>
      <b/>
      <sz val="14"/>
      <name val="Arial"/>
      <family val="2"/>
    </font>
    <font>
      <b/>
      <sz val="11"/>
      <name val="Arial"/>
      <family val="2"/>
    </font>
    <font>
      <b/>
      <sz val="12"/>
      <color indexed="81"/>
      <name val="Tahoma"/>
      <family val="2"/>
    </font>
    <font>
      <sz val="10"/>
      <color indexed="10"/>
      <name val="Arial"/>
      <family val="2"/>
    </font>
    <font>
      <b/>
      <sz val="10"/>
      <color indexed="10"/>
      <name val="Arial"/>
      <family val="2"/>
    </font>
    <font>
      <b/>
      <sz val="10"/>
      <color indexed="12"/>
      <name val="Arial"/>
      <family val="2"/>
    </font>
    <font>
      <sz val="10"/>
      <color indexed="10"/>
      <name val="Arial"/>
    </font>
    <font>
      <sz val="10"/>
      <color indexed="81"/>
      <name val="Tahoma"/>
      <family val="2"/>
    </font>
    <font>
      <b/>
      <i/>
      <u/>
      <sz val="10"/>
      <name val="Arial"/>
      <family val="2"/>
    </font>
    <font>
      <b/>
      <i/>
      <sz val="10"/>
      <name val="Arial"/>
      <family val="2"/>
    </font>
    <font>
      <sz val="10"/>
      <color indexed="9"/>
      <name val="Arial"/>
      <family val="2"/>
    </font>
    <font>
      <sz val="12"/>
      <color indexed="81"/>
      <name val="Tahoma"/>
      <family val="2"/>
    </font>
    <font>
      <sz val="10"/>
      <color indexed="8"/>
      <name val="Arial"/>
    </font>
    <font>
      <sz val="12"/>
      <color indexed="81"/>
      <name val="Times New Roman"/>
      <family val="1"/>
    </font>
    <font>
      <sz val="14"/>
      <name val="Arial"/>
      <family val="2"/>
    </font>
    <font>
      <sz val="20"/>
      <name val="Arial"/>
      <family val="2"/>
    </font>
    <font>
      <u/>
      <sz val="10"/>
      <color theme="10"/>
      <name val="Arial"/>
      <family val="2"/>
    </font>
  </fonts>
  <fills count="6">
    <fill>
      <patternFill patternType="none"/>
    </fill>
    <fill>
      <patternFill patternType="gray125"/>
    </fill>
    <fill>
      <patternFill patternType="solid">
        <fgColor indexed="16"/>
        <bgColor indexed="64"/>
      </patternFill>
    </fill>
    <fill>
      <patternFill patternType="solid">
        <fgColor indexed="42"/>
        <bgColor indexed="64"/>
      </patternFill>
    </fill>
    <fill>
      <patternFill patternType="solid">
        <fgColor indexed="43"/>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uble">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s>
  <cellStyleXfs count="3">
    <xf numFmtId="0" fontId="0" fillId="0" borderId="0"/>
    <xf numFmtId="0" fontId="24" fillId="0" borderId="0" applyNumberFormat="0" applyFill="0" applyBorder="0" applyAlignment="0" applyProtection="0"/>
    <xf numFmtId="9" fontId="1" fillId="0" borderId="0" applyFont="0" applyFill="0" applyBorder="0" applyAlignment="0" applyProtection="0"/>
  </cellStyleXfs>
  <cellXfs count="99">
    <xf numFmtId="0" fontId="0" fillId="0" borderId="0" xfId="0"/>
    <xf numFmtId="0" fontId="2" fillId="0" borderId="0" xfId="0" applyFont="1"/>
    <xf numFmtId="0" fontId="0" fillId="0" borderId="0" xfId="0" applyAlignment="1">
      <alignment horizontal="center"/>
    </xf>
    <xf numFmtId="164" fontId="0" fillId="0" borderId="0" xfId="0" applyNumberFormat="1"/>
    <xf numFmtId="8" fontId="0" fillId="0" borderId="0" xfId="0" applyNumberFormat="1"/>
    <xf numFmtId="10" fontId="0" fillId="0" borderId="0" xfId="2" applyNumberFormat="1" applyFont="1"/>
    <xf numFmtId="0" fontId="6" fillId="0" borderId="0" xfId="0" applyFont="1"/>
    <xf numFmtId="0" fontId="0" fillId="0" borderId="1" xfId="0" applyBorder="1"/>
    <xf numFmtId="0" fontId="8" fillId="0" borderId="0" xfId="0" applyFont="1"/>
    <xf numFmtId="0" fontId="2" fillId="0" borderId="1" xfId="0" applyFont="1" applyBorder="1"/>
    <xf numFmtId="0" fontId="5" fillId="0" borderId="1" xfId="0" applyFont="1" applyBorder="1"/>
    <xf numFmtId="3" fontId="0" fillId="0" borderId="0" xfId="0" applyNumberFormat="1" applyBorder="1"/>
    <xf numFmtId="0" fontId="2" fillId="0" borderId="0" xfId="0" applyFont="1" applyBorder="1"/>
    <xf numFmtId="0" fontId="0" fillId="0" borderId="0" xfId="0" applyFill="1" applyBorder="1"/>
    <xf numFmtId="0" fontId="0" fillId="0" borderId="0" xfId="0" applyBorder="1"/>
    <xf numFmtId="10" fontId="0" fillId="0" borderId="0" xfId="2" applyNumberFormat="1" applyFont="1" applyBorder="1"/>
    <xf numFmtId="0" fontId="0" fillId="0" borderId="0" xfId="0" applyAlignment="1"/>
    <xf numFmtId="40" fontId="0" fillId="0" borderId="0" xfId="0" applyNumberFormat="1" applyAlignment="1">
      <alignment horizontal="center"/>
    </xf>
    <xf numFmtId="40" fontId="0" fillId="0" borderId="0" xfId="0" applyNumberFormat="1"/>
    <xf numFmtId="0" fontId="0" fillId="0" borderId="0" xfId="0" applyAlignment="1">
      <alignment wrapText="1"/>
    </xf>
    <xf numFmtId="0" fontId="0" fillId="2" borderId="0" xfId="0" applyFill="1"/>
    <xf numFmtId="0" fontId="2" fillId="3" borderId="0" xfId="0" applyFont="1" applyFill="1" applyAlignment="1">
      <alignment horizontal="center"/>
    </xf>
    <xf numFmtId="0" fontId="5" fillId="0" borderId="0" xfId="0" applyFont="1" applyBorder="1"/>
    <xf numFmtId="0" fontId="0" fillId="0" borderId="1" xfId="0" applyBorder="1" applyAlignment="1">
      <alignment horizontal="center"/>
    </xf>
    <xf numFmtId="8" fontId="0" fillId="0" borderId="0" xfId="0" applyNumberFormat="1" applyBorder="1"/>
    <xf numFmtId="0" fontId="0" fillId="0" borderId="0" xfId="0" applyBorder="1" applyAlignment="1">
      <alignment horizontal="right"/>
    </xf>
    <xf numFmtId="8" fontId="13" fillId="0" borderId="0" xfId="0" applyNumberFormat="1" applyFont="1" applyFill="1" applyBorder="1"/>
    <xf numFmtId="0" fontId="2" fillId="0" borderId="0" xfId="0" applyFont="1" applyFill="1" applyBorder="1"/>
    <xf numFmtId="0" fontId="0" fillId="0" borderId="2" xfId="0" applyFill="1" applyBorder="1"/>
    <xf numFmtId="6" fontId="0" fillId="0" borderId="0" xfId="0" applyNumberFormat="1" applyBorder="1"/>
    <xf numFmtId="0" fontId="0" fillId="0" borderId="0" xfId="0" applyAlignment="1">
      <alignment horizontal="right"/>
    </xf>
    <xf numFmtId="165" fontId="0" fillId="0" borderId="0" xfId="0" applyNumberFormat="1" applyBorder="1" applyAlignment="1">
      <alignment horizontal="right"/>
    </xf>
    <xf numFmtId="165" fontId="0" fillId="0" borderId="0" xfId="0" applyNumberFormat="1" applyBorder="1" applyAlignment="1">
      <alignment horizontal="left"/>
    </xf>
    <xf numFmtId="0" fontId="2" fillId="0" borderId="0" xfId="0" applyFont="1" applyAlignment="1">
      <alignment horizontal="center"/>
    </xf>
    <xf numFmtId="0" fontId="12" fillId="0" borderId="0" xfId="0" applyFont="1" applyFill="1" applyBorder="1"/>
    <xf numFmtId="0" fontId="2" fillId="0" borderId="0" xfId="0" applyFont="1" applyFill="1" applyBorder="1" applyAlignment="1">
      <alignment horizontal="center"/>
    </xf>
    <xf numFmtId="0" fontId="16" fillId="0" borderId="0" xfId="0" applyFont="1"/>
    <xf numFmtId="166" fontId="0" fillId="0" borderId="0" xfId="0" applyNumberFormat="1" applyBorder="1"/>
    <xf numFmtId="6" fontId="13" fillId="0" borderId="0" xfId="0" applyNumberFormat="1" applyFont="1" applyFill="1" applyBorder="1"/>
    <xf numFmtId="0" fontId="0" fillId="0" borderId="3" xfId="0" applyFill="1" applyBorder="1"/>
    <xf numFmtId="167" fontId="0" fillId="0" borderId="0" xfId="0" applyNumberFormat="1" applyBorder="1"/>
    <xf numFmtId="6" fontId="0" fillId="0" borderId="4" xfId="0" applyNumberFormat="1" applyBorder="1"/>
    <xf numFmtId="0" fontId="0" fillId="0" borderId="0" xfId="0" applyAlignment="1">
      <alignment horizontal="left"/>
    </xf>
    <xf numFmtId="0" fontId="17" fillId="3" borderId="1" xfId="0" applyFont="1" applyFill="1" applyBorder="1"/>
    <xf numFmtId="38" fontId="0" fillId="0" borderId="0" xfId="0" applyNumberFormat="1" applyAlignment="1">
      <alignment horizontal="center"/>
    </xf>
    <xf numFmtId="0" fontId="14" fillId="0" borderId="0" xfId="0" applyFont="1" applyAlignment="1"/>
    <xf numFmtId="3" fontId="0" fillId="0" borderId="0" xfId="0" applyNumberFormat="1" applyBorder="1" applyAlignment="1">
      <alignment horizontal="right"/>
    </xf>
    <xf numFmtId="0" fontId="2" fillId="0" borderId="2" xfId="0" applyFont="1" applyBorder="1" applyAlignment="1">
      <alignment horizontal="center"/>
    </xf>
    <xf numFmtId="0" fontId="18" fillId="0" borderId="0" xfId="0" applyFont="1" applyFill="1" applyBorder="1"/>
    <xf numFmtId="38" fontId="0" fillId="0" borderId="0" xfId="0" applyNumberFormat="1"/>
    <xf numFmtId="0" fontId="20" fillId="0" borderId="1" xfId="0" applyFont="1" applyBorder="1"/>
    <xf numFmtId="0" fontId="3" fillId="0" borderId="0" xfId="0" applyFont="1"/>
    <xf numFmtId="0" fontId="7" fillId="0" borderId="0" xfId="0" applyFont="1" applyFill="1" applyBorder="1"/>
    <xf numFmtId="0" fontId="2" fillId="0" borderId="5" xfId="0" applyFont="1" applyFill="1" applyBorder="1" applyAlignment="1">
      <alignment horizontal="right"/>
    </xf>
    <xf numFmtId="0" fontId="2" fillId="0" borderId="6" xfId="0" applyFont="1" applyBorder="1" applyAlignment="1">
      <alignment horizontal="right"/>
    </xf>
    <xf numFmtId="0" fontId="0" fillId="0" borderId="0" xfId="0" applyProtection="1"/>
    <xf numFmtId="0" fontId="2" fillId="3" borderId="0" xfId="0" applyFont="1" applyFill="1" applyAlignment="1" applyProtection="1">
      <alignment horizontal="center"/>
    </xf>
    <xf numFmtId="8" fontId="13" fillId="0" borderId="1" xfId="0" applyNumberFormat="1" applyFont="1" applyFill="1" applyBorder="1" applyProtection="1">
      <protection locked="0"/>
    </xf>
    <xf numFmtId="6" fontId="13" fillId="0" borderId="1" xfId="0" applyNumberFormat="1" applyFont="1" applyFill="1" applyBorder="1" applyProtection="1">
      <protection locked="0"/>
    </xf>
    <xf numFmtId="38" fontId="13" fillId="0" borderId="1" xfId="0" applyNumberFormat="1" applyFont="1" applyFill="1" applyBorder="1" applyProtection="1">
      <protection locked="0"/>
    </xf>
    <xf numFmtId="0" fontId="13" fillId="0" borderId="1" xfId="0" applyFont="1" applyFill="1" applyBorder="1" applyProtection="1">
      <protection locked="0"/>
    </xf>
    <xf numFmtId="0" fontId="13" fillId="0" borderId="7" xfId="0" applyFont="1" applyBorder="1" applyProtection="1">
      <protection locked="0"/>
    </xf>
    <xf numFmtId="0" fontId="0" fillId="0" borderId="8" xfId="0" applyBorder="1" applyProtection="1">
      <protection locked="0"/>
    </xf>
    <xf numFmtId="0" fontId="0" fillId="0" borderId="9" xfId="0" applyBorder="1" applyProtection="1">
      <protection locked="0"/>
    </xf>
    <xf numFmtId="8" fontId="13" fillId="0" borderId="10" xfId="0" applyNumberFormat="1" applyFont="1" applyFill="1" applyBorder="1" applyProtection="1">
      <protection locked="0"/>
    </xf>
    <xf numFmtId="8" fontId="13" fillId="0" borderId="11" xfId="0" applyNumberFormat="1" applyFont="1" applyFill="1" applyBorder="1" applyProtection="1">
      <protection locked="0"/>
    </xf>
    <xf numFmtId="9" fontId="13" fillId="0" borderId="1" xfId="0" applyNumberFormat="1" applyFont="1" applyBorder="1" applyAlignment="1" applyProtection="1">
      <alignment horizontal="right"/>
      <protection locked="0"/>
    </xf>
    <xf numFmtId="165" fontId="13" fillId="0" borderId="1" xfId="0" applyNumberFormat="1" applyFont="1" applyBorder="1" applyProtection="1">
      <protection locked="0"/>
    </xf>
    <xf numFmtId="0" fontId="0" fillId="3" borderId="0" xfId="0" applyFill="1"/>
    <xf numFmtId="38" fontId="0" fillId="0" borderId="1" xfId="0" applyNumberFormat="1" applyBorder="1"/>
    <xf numFmtId="38" fontId="2" fillId="0" borderId="1" xfId="0" applyNumberFormat="1" applyFont="1" applyBorder="1"/>
    <xf numFmtId="38" fontId="0" fillId="2" borderId="1" xfId="0" applyNumberFormat="1" applyFill="1" applyBorder="1"/>
    <xf numFmtId="38" fontId="0" fillId="0" borderId="1" xfId="0" applyNumberFormat="1" applyFill="1" applyBorder="1"/>
    <xf numFmtId="38" fontId="13" fillId="0" borderId="1" xfId="0" applyNumberFormat="1" applyFont="1" applyFill="1" applyBorder="1" applyAlignment="1" applyProtection="1">
      <alignment horizontal="right"/>
      <protection locked="0"/>
    </xf>
    <xf numFmtId="2" fontId="0" fillId="0" borderId="0" xfId="0" applyNumberFormat="1"/>
    <xf numFmtId="164" fontId="2" fillId="0" borderId="1" xfId="0" applyNumberFormat="1" applyFont="1" applyBorder="1"/>
    <xf numFmtId="0" fontId="2" fillId="0" borderId="1" xfId="0" applyFont="1" applyFill="1" applyBorder="1"/>
    <xf numFmtId="8" fontId="2" fillId="0" borderId="1" xfId="0" applyNumberFormat="1" applyFont="1" applyBorder="1"/>
    <xf numFmtId="38" fontId="5" fillId="0" borderId="0" xfId="0" applyNumberFormat="1" applyFont="1" applyFill="1" applyBorder="1" applyProtection="1">
      <protection locked="0"/>
    </xf>
    <xf numFmtId="8" fontId="5" fillId="0" borderId="0" xfId="0" applyNumberFormat="1" applyFont="1" applyFill="1" applyBorder="1" applyProtection="1">
      <protection locked="0"/>
    </xf>
    <xf numFmtId="0" fontId="2" fillId="0" borderId="0" xfId="0" applyFont="1" applyFill="1" applyAlignment="1">
      <alignment horizontal="center"/>
    </xf>
    <xf numFmtId="38" fontId="0" fillId="0" borderId="0" xfId="0" applyNumberFormat="1" applyBorder="1"/>
    <xf numFmtId="38" fontId="0" fillId="2" borderId="0" xfId="0" applyNumberFormat="1" applyFill="1" applyBorder="1"/>
    <xf numFmtId="0" fontId="22" fillId="5" borderId="0" xfId="0" applyFont="1" applyFill="1" applyBorder="1"/>
    <xf numFmtId="0" fontId="23" fillId="5" borderId="0" xfId="0" applyFont="1" applyFill="1" applyBorder="1" applyAlignment="1">
      <alignment horizontal="center"/>
    </xf>
    <xf numFmtId="0" fontId="23" fillId="5" borderId="0" xfId="0" applyFont="1" applyFill="1" applyBorder="1"/>
    <xf numFmtId="0" fontId="22" fillId="5" borderId="0" xfId="0" applyFont="1" applyFill="1" applyBorder="1" applyAlignment="1">
      <alignment horizontal="center"/>
    </xf>
    <xf numFmtId="0" fontId="24" fillId="5" borderId="0" xfId="1" applyFill="1" applyBorder="1" applyAlignment="1">
      <alignment horizontal="center"/>
    </xf>
    <xf numFmtId="0" fontId="5" fillId="0" borderId="0" xfId="0" applyFont="1"/>
    <xf numFmtId="0" fontId="22" fillId="5" borderId="0" xfId="0" applyFont="1" applyFill="1" applyBorder="1" applyAlignment="1">
      <alignment horizontal="left" vertical="top" wrapText="1"/>
    </xf>
    <xf numFmtId="0" fontId="0" fillId="0" borderId="0" xfId="0" applyAlignment="1">
      <alignment horizontal="left" vertical="top" wrapText="1"/>
    </xf>
    <xf numFmtId="0" fontId="2" fillId="0" borderId="7" xfId="0" applyFont="1" applyBorder="1" applyAlignment="1">
      <alignment horizontal="center"/>
    </xf>
    <xf numFmtId="0" fontId="2" fillId="0" borderId="9" xfId="0" applyFont="1" applyBorder="1" applyAlignment="1">
      <alignment horizontal="center"/>
    </xf>
    <xf numFmtId="0" fontId="2" fillId="4" borderId="7" xfId="0" applyFont="1" applyFill="1" applyBorder="1" applyAlignment="1">
      <alignment horizontal="center"/>
    </xf>
    <xf numFmtId="0" fontId="2" fillId="4" borderId="8" xfId="0" applyFont="1" applyFill="1" applyBorder="1" applyAlignment="1">
      <alignment horizontal="center"/>
    </xf>
    <xf numFmtId="0" fontId="2" fillId="4" borderId="9" xfId="0" applyFont="1" applyFill="1"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9" fillId="0" borderId="7" xfId="0" applyFont="1" applyBorder="1" applyAlignment="1">
      <alignment horizontal="center"/>
    </xf>
  </cellXfs>
  <cellStyles count="3">
    <cellStyle name="Hyperlink" xfId="1" builtinId="8"/>
    <cellStyle name="Normal" xfId="0" builtinId="0"/>
    <cellStyle name="Percent" xfId="2" builtinId="5"/>
  </cellStyles>
  <dxfs count="1">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28575</xdr:colOff>
      <xdr:row>2</xdr:row>
      <xdr:rowOff>0</xdr:rowOff>
    </xdr:from>
    <xdr:to>
      <xdr:col>3</xdr:col>
      <xdr:colOff>771525</xdr:colOff>
      <xdr:row>8</xdr:row>
      <xdr:rowOff>85725</xdr:rowOff>
    </xdr:to>
    <xdr:sp macro="" textlink="">
      <xdr:nvSpPr>
        <xdr:cNvPr id="1070" name="Text Box 46"/>
        <xdr:cNvSpPr txBox="1">
          <a:spLocks noChangeArrowheads="1"/>
        </xdr:cNvSpPr>
      </xdr:nvSpPr>
      <xdr:spPr bwMode="auto">
        <a:xfrm>
          <a:off x="409575" y="390525"/>
          <a:ext cx="2476500" cy="10572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Common proportions for ingredients in biodiesel are 1 part oil, .18 parts methanol and .005 parts catalyst.  These proportions are shown at left in blue text and can be changed to reflect actual proportions used.</a:t>
          </a: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schumacher@montana.edu"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17"/>
  <sheetViews>
    <sheetView tabSelected="1" workbookViewId="0"/>
  </sheetViews>
  <sheetFormatPr defaultColWidth="9.109375" defaultRowHeight="17.399999999999999" x14ac:dyDescent="0.3"/>
  <cols>
    <col min="1" max="1" width="18" style="83" customWidth="1"/>
    <col min="2" max="3" width="7.33203125" style="83" customWidth="1"/>
    <col min="4" max="4" width="7" style="83" customWidth="1"/>
    <col min="5" max="7" width="9.109375" style="83"/>
    <col min="8" max="8" width="2.44140625" style="83" customWidth="1"/>
    <col min="9" max="9" width="3.88671875" style="83" customWidth="1"/>
    <col min="10" max="16384" width="9.109375" style="83"/>
  </cols>
  <sheetData>
    <row r="3" spans="1:5" ht="24.6" x14ac:dyDescent="0.4">
      <c r="E3" s="84" t="s">
        <v>151</v>
      </c>
    </row>
    <row r="4" spans="1:5" ht="24.6" x14ac:dyDescent="0.4">
      <c r="E4" s="85"/>
    </row>
    <row r="5" spans="1:5" ht="24.6" x14ac:dyDescent="0.4">
      <c r="E5" s="84" t="s">
        <v>155</v>
      </c>
    </row>
    <row r="6" spans="1:5" ht="24.6" x14ac:dyDescent="0.4">
      <c r="E6" s="84" t="s">
        <v>156</v>
      </c>
    </row>
    <row r="7" spans="1:5" ht="45" customHeight="1" x14ac:dyDescent="0.3"/>
    <row r="8" spans="1:5" x14ac:dyDescent="0.3">
      <c r="E8" s="86" t="s">
        <v>144</v>
      </c>
    </row>
    <row r="9" spans="1:5" x14ac:dyDescent="0.3">
      <c r="E9" s="86"/>
    </row>
    <row r="10" spans="1:5" x14ac:dyDescent="0.3">
      <c r="E10" s="86" t="s">
        <v>145</v>
      </c>
    </row>
    <row r="11" spans="1:5" x14ac:dyDescent="0.3">
      <c r="E11" s="86" t="s">
        <v>146</v>
      </c>
    </row>
    <row r="12" spans="1:5" x14ac:dyDescent="0.3">
      <c r="E12" s="86" t="s">
        <v>147</v>
      </c>
    </row>
    <row r="13" spans="1:5" x14ac:dyDescent="0.3">
      <c r="E13" s="87" t="s">
        <v>148</v>
      </c>
    </row>
    <row r="14" spans="1:5" x14ac:dyDescent="0.3">
      <c r="E14" s="86" t="s">
        <v>149</v>
      </c>
    </row>
    <row r="16" spans="1:5" x14ac:dyDescent="0.3">
      <c r="A16" s="83" t="s">
        <v>150</v>
      </c>
    </row>
    <row r="17" spans="1:11" ht="165" customHeight="1" x14ac:dyDescent="0.3">
      <c r="A17" s="89" t="s">
        <v>152</v>
      </c>
      <c r="B17" s="90"/>
      <c r="C17" s="90"/>
      <c r="D17" s="90"/>
      <c r="E17" s="90"/>
      <c r="F17" s="90"/>
      <c r="G17" s="90"/>
      <c r="H17" s="90"/>
      <c r="I17" s="90"/>
      <c r="J17" s="90"/>
      <c r="K17" s="90"/>
    </row>
  </sheetData>
  <mergeCells count="1">
    <mergeCell ref="A17:K17"/>
  </mergeCells>
  <hyperlinks>
    <hyperlink ref="E13" r:id="rId1"/>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132"/>
  <sheetViews>
    <sheetView showGridLines="0" zoomScaleNormal="100" workbookViewId="0">
      <selection activeCell="E1" sqref="E1"/>
    </sheetView>
  </sheetViews>
  <sheetFormatPr defaultRowHeight="13.2" x14ac:dyDescent="0.25"/>
  <cols>
    <col min="1" max="1" width="5.6640625" customWidth="1"/>
    <col min="2" max="2" width="12.44140625" customWidth="1"/>
    <col min="3" max="3" width="13.5546875" customWidth="1"/>
    <col min="4" max="5" width="14.44140625" customWidth="1"/>
    <col min="6" max="7" width="12.88671875" customWidth="1"/>
    <col min="8" max="8" width="8.44140625" customWidth="1"/>
    <col min="9" max="9" width="10.44140625" bestFit="1" customWidth="1"/>
    <col min="10" max="11" width="9.33203125" bestFit="1" customWidth="1"/>
    <col min="12" max="12" width="10.44140625" bestFit="1" customWidth="1"/>
    <col min="13" max="13" width="8" bestFit="1" customWidth="1"/>
    <col min="14" max="14" width="14.109375" bestFit="1" customWidth="1"/>
  </cols>
  <sheetData>
    <row r="1" spans="1:8" ht="17.399999999999999" x14ac:dyDescent="0.3">
      <c r="B1" s="8" t="s">
        <v>47</v>
      </c>
      <c r="C1" s="8"/>
      <c r="D1" s="8"/>
      <c r="E1" s="8"/>
    </row>
    <row r="2" spans="1:8" x14ac:dyDescent="0.25">
      <c r="B2" t="s">
        <v>58</v>
      </c>
    </row>
    <row r="3" spans="1:8" x14ac:dyDescent="0.25">
      <c r="F3" s="91" t="s">
        <v>46</v>
      </c>
      <c r="G3" s="92"/>
    </row>
    <row r="4" spans="1:8" x14ac:dyDescent="0.25">
      <c r="B4" s="14"/>
      <c r="C4" s="14"/>
      <c r="D4" s="14"/>
      <c r="E4" s="14"/>
      <c r="F4" s="23" t="s">
        <v>56</v>
      </c>
      <c r="G4" s="23" t="s">
        <v>57</v>
      </c>
    </row>
    <row r="5" spans="1:8" x14ac:dyDescent="0.25">
      <c r="C5" s="31"/>
      <c r="D5" s="31"/>
      <c r="E5" s="32" t="s">
        <v>5</v>
      </c>
      <c r="F5" s="60">
        <v>0.8</v>
      </c>
      <c r="G5" s="15">
        <f>+F5/$F$8</f>
        <v>0.69264069264069261</v>
      </c>
    </row>
    <row r="6" spans="1:8" x14ac:dyDescent="0.25">
      <c r="C6" s="31"/>
      <c r="D6" s="31"/>
      <c r="E6" s="32" t="s">
        <v>6</v>
      </c>
      <c r="F6" s="60">
        <v>0.17499999999999999</v>
      </c>
      <c r="G6" s="15">
        <f>+F6/$F$8</f>
        <v>0.15151515151515149</v>
      </c>
    </row>
    <row r="7" spans="1:8" x14ac:dyDescent="0.25">
      <c r="C7" s="31"/>
      <c r="D7" s="31"/>
      <c r="E7" s="32" t="s">
        <v>7</v>
      </c>
      <c r="F7" s="60">
        <v>5.0000000000000001E-3</v>
      </c>
      <c r="G7" s="15">
        <f>+F7/$F$8</f>
        <v>4.329004329004329E-3</v>
      </c>
    </row>
    <row r="8" spans="1:8" ht="12.75" customHeight="1" x14ac:dyDescent="0.25">
      <c r="B8" s="30"/>
      <c r="C8" s="30"/>
      <c r="D8" s="30"/>
      <c r="E8" s="30"/>
      <c r="F8" s="48">
        <v>1.155</v>
      </c>
      <c r="G8" s="15">
        <f>+F8/$F$8</f>
        <v>1</v>
      </c>
    </row>
    <row r="9" spans="1:8" ht="8.25" customHeight="1" x14ac:dyDescent="0.25"/>
    <row r="10" spans="1:8" ht="14.25" customHeight="1" x14ac:dyDescent="0.25">
      <c r="F10" s="47" t="s">
        <v>139</v>
      </c>
      <c r="G10" s="47" t="s">
        <v>140</v>
      </c>
      <c r="H10" s="51"/>
    </row>
    <row r="11" spans="1:8" ht="14.25" customHeight="1" x14ac:dyDescent="0.25">
      <c r="A11" s="56" t="s">
        <v>48</v>
      </c>
      <c r="B11" s="22" t="s">
        <v>62</v>
      </c>
      <c r="C11" s="22"/>
      <c r="D11" s="22"/>
      <c r="E11" s="22"/>
      <c r="F11" s="73">
        <v>80</v>
      </c>
      <c r="G11" s="3"/>
    </row>
    <row r="12" spans="1:8" ht="14.25" customHeight="1" x14ac:dyDescent="0.25">
      <c r="A12" s="21" t="s">
        <v>48</v>
      </c>
      <c r="B12" t="s">
        <v>107</v>
      </c>
      <c r="C12" s="1"/>
      <c r="D12" s="1"/>
      <c r="E12" s="1"/>
      <c r="F12" s="59">
        <v>1500</v>
      </c>
      <c r="G12" s="59">
        <v>1500</v>
      </c>
    </row>
    <row r="13" spans="1:8" x14ac:dyDescent="0.25">
      <c r="B13" s="13" t="s">
        <v>55</v>
      </c>
      <c r="C13" s="14"/>
      <c r="D13" s="14"/>
      <c r="E13" s="14"/>
      <c r="F13" s="46">
        <f>F12/F11</f>
        <v>18.75</v>
      </c>
      <c r="G13" s="46">
        <f>G12/F11</f>
        <v>18.75</v>
      </c>
    </row>
    <row r="14" spans="1:8" x14ac:dyDescent="0.25">
      <c r="B14" s="14" t="s">
        <v>61</v>
      </c>
      <c r="C14" s="14"/>
      <c r="D14" s="14"/>
      <c r="E14" s="14"/>
      <c r="F14" s="46">
        <f>F12*F6</f>
        <v>262.5</v>
      </c>
      <c r="G14" s="46">
        <f>G12*G6</f>
        <v>227.27272727272722</v>
      </c>
    </row>
    <row r="15" spans="1:8" ht="6" customHeight="1" x14ac:dyDescent="0.25">
      <c r="H15" s="26"/>
    </row>
    <row r="16" spans="1:8" ht="12.75" customHeight="1" x14ac:dyDescent="0.25">
      <c r="B16" s="1" t="s">
        <v>29</v>
      </c>
      <c r="C16" s="1"/>
      <c r="D16" s="1"/>
      <c r="E16" s="1"/>
      <c r="F16" s="3"/>
      <c r="G16" s="3"/>
    </row>
    <row r="17" spans="1:13" ht="14.25" customHeight="1" x14ac:dyDescent="0.25">
      <c r="A17" s="21" t="s">
        <v>48</v>
      </c>
      <c r="B17" t="s">
        <v>106</v>
      </c>
      <c r="D17" s="30"/>
      <c r="F17" s="57">
        <v>3.5</v>
      </c>
      <c r="G17" s="57">
        <v>3.5</v>
      </c>
    </row>
    <row r="18" spans="1:13" x14ac:dyDescent="0.25">
      <c r="B18" s="14" t="s">
        <v>9</v>
      </c>
      <c r="C18" s="14"/>
      <c r="D18" s="14"/>
      <c r="E18" s="14"/>
      <c r="F18" s="57">
        <v>5.25</v>
      </c>
      <c r="G18" s="57">
        <v>5.25</v>
      </c>
      <c r="K18" s="5"/>
    </row>
    <row r="19" spans="1:13" x14ac:dyDescent="0.25">
      <c r="A19" s="21" t="s">
        <v>48</v>
      </c>
      <c r="B19" s="14" t="s">
        <v>10</v>
      </c>
      <c r="C19" s="14"/>
      <c r="D19" s="14"/>
      <c r="E19" s="14"/>
      <c r="F19" s="57">
        <v>1.8</v>
      </c>
      <c r="G19" s="57">
        <v>1.8</v>
      </c>
      <c r="K19" s="5"/>
    </row>
    <row r="20" spans="1:13" ht="6" customHeight="1" x14ac:dyDescent="0.25">
      <c r="H20" s="26"/>
    </row>
    <row r="21" spans="1:13" ht="12.75" customHeight="1" x14ac:dyDescent="0.25">
      <c r="B21" s="93" t="s">
        <v>109</v>
      </c>
      <c r="C21" s="96"/>
      <c r="D21" s="96"/>
      <c r="E21" s="96"/>
      <c r="F21" s="97"/>
      <c r="G21" s="19"/>
      <c r="K21" s="15"/>
    </row>
    <row r="22" spans="1:13" x14ac:dyDescent="0.25">
      <c r="B22" s="36" t="s">
        <v>1</v>
      </c>
      <c r="C22" s="6"/>
      <c r="D22" s="6"/>
      <c r="E22" s="6"/>
      <c r="F22" s="33" t="s">
        <v>11</v>
      </c>
      <c r="H22" s="35"/>
    </row>
    <row r="23" spans="1:13" x14ac:dyDescent="0.25">
      <c r="A23" s="21" t="s">
        <v>48</v>
      </c>
      <c r="B23" s="14" t="s">
        <v>15</v>
      </c>
      <c r="C23" s="14"/>
      <c r="D23" s="14"/>
      <c r="E23" s="14"/>
      <c r="F23" s="57">
        <v>0</v>
      </c>
    </row>
    <row r="24" spans="1:13" x14ac:dyDescent="0.25">
      <c r="A24" s="21" t="s">
        <v>48</v>
      </c>
      <c r="B24" s="14" t="s">
        <v>16</v>
      </c>
      <c r="C24" s="14"/>
      <c r="D24" s="14"/>
      <c r="E24" s="14"/>
      <c r="F24" s="57">
        <v>0</v>
      </c>
      <c r="H24" s="16"/>
      <c r="I24" s="16"/>
      <c r="J24" s="16"/>
      <c r="K24" s="16"/>
      <c r="L24" s="16"/>
      <c r="M24" s="16"/>
    </row>
    <row r="25" spans="1:13" x14ac:dyDescent="0.25">
      <c r="A25" s="21" t="s">
        <v>48</v>
      </c>
      <c r="B25" s="14" t="s">
        <v>17</v>
      </c>
      <c r="C25" s="14"/>
      <c r="D25" s="14"/>
      <c r="E25" s="14"/>
      <c r="F25" s="57">
        <v>0</v>
      </c>
      <c r="H25" s="16"/>
      <c r="I25" s="16"/>
      <c r="J25" s="16"/>
      <c r="K25" s="16"/>
      <c r="L25" s="16"/>
      <c r="M25" s="16"/>
    </row>
    <row r="26" spans="1:13" ht="12.75" customHeight="1" x14ac:dyDescent="0.25">
      <c r="A26" s="21" t="s">
        <v>48</v>
      </c>
      <c r="B26" s="14" t="s">
        <v>20</v>
      </c>
      <c r="C26" s="14"/>
      <c r="D26" s="14"/>
      <c r="E26" s="14"/>
      <c r="F26" s="57">
        <v>0</v>
      </c>
      <c r="H26" s="19"/>
      <c r="I26" s="19"/>
      <c r="J26" s="19"/>
      <c r="K26" s="19"/>
      <c r="L26" s="19"/>
      <c r="M26" s="16"/>
    </row>
    <row r="27" spans="1:13" x14ac:dyDescent="0.25">
      <c r="A27" s="21" t="s">
        <v>48</v>
      </c>
      <c r="B27" s="14" t="s">
        <v>21</v>
      </c>
      <c r="C27" s="14"/>
      <c r="D27" s="14"/>
      <c r="E27" s="14"/>
      <c r="F27" s="57">
        <v>0</v>
      </c>
      <c r="H27" s="16"/>
      <c r="I27" s="16"/>
      <c r="J27" s="16"/>
      <c r="K27" s="16"/>
      <c r="L27" s="16"/>
      <c r="M27" s="16"/>
    </row>
    <row r="28" spans="1:13" ht="12" customHeight="1" x14ac:dyDescent="0.25"/>
    <row r="29" spans="1:13" ht="15" customHeight="1" x14ac:dyDescent="0.25">
      <c r="B29" s="36" t="s">
        <v>12</v>
      </c>
      <c r="C29" s="6"/>
      <c r="D29" s="6"/>
      <c r="E29" s="6"/>
      <c r="F29" s="4"/>
    </row>
    <row r="30" spans="1:13" x14ac:dyDescent="0.25">
      <c r="A30" s="21" t="s">
        <v>48</v>
      </c>
      <c r="B30" s="22" t="s">
        <v>19</v>
      </c>
      <c r="C30" s="22"/>
      <c r="D30" s="22"/>
      <c r="E30" s="22"/>
      <c r="F30" s="57">
        <v>0</v>
      </c>
    </row>
    <row r="31" spans="1:13" x14ac:dyDescent="0.25">
      <c r="B31" s="14" t="s">
        <v>23</v>
      </c>
      <c r="C31" s="14"/>
      <c r="D31" s="14"/>
      <c r="E31" s="14"/>
      <c r="F31" s="57">
        <v>0</v>
      </c>
      <c r="H31" s="16"/>
      <c r="I31" s="16"/>
      <c r="J31" s="16"/>
      <c r="K31" s="16"/>
      <c r="L31" s="16"/>
      <c r="M31" s="16"/>
    </row>
    <row r="32" spans="1:13" x14ac:dyDescent="0.25">
      <c r="B32" s="14" t="s">
        <v>90</v>
      </c>
      <c r="C32" s="14"/>
      <c r="D32" s="14"/>
      <c r="E32" s="14"/>
      <c r="F32" s="57">
        <v>0</v>
      </c>
    </row>
    <row r="33" spans="1:13" x14ac:dyDescent="0.25">
      <c r="B33" s="14" t="s">
        <v>71</v>
      </c>
      <c r="C33" s="14"/>
      <c r="D33" s="14"/>
      <c r="E33" s="14"/>
      <c r="F33" s="57">
        <v>0</v>
      </c>
    </row>
    <row r="34" spans="1:13" x14ac:dyDescent="0.25">
      <c r="B34" s="14" t="s">
        <v>22</v>
      </c>
      <c r="C34" s="14"/>
      <c r="D34" s="14"/>
      <c r="E34" s="14"/>
      <c r="F34" s="57">
        <v>0</v>
      </c>
      <c r="H34" s="16"/>
      <c r="I34" s="16"/>
      <c r="J34" s="16"/>
      <c r="K34" s="16"/>
      <c r="L34" s="16"/>
      <c r="M34" s="16"/>
    </row>
    <row r="35" spans="1:13" x14ac:dyDescent="0.25">
      <c r="B35" s="61" t="s">
        <v>52</v>
      </c>
      <c r="C35" s="62"/>
      <c r="D35" s="62"/>
      <c r="E35" s="63"/>
      <c r="F35" s="57">
        <v>0</v>
      </c>
    </row>
    <row r="36" spans="1:13" ht="6" customHeight="1" x14ac:dyDescent="0.25">
      <c r="H36" s="26"/>
    </row>
    <row r="37" spans="1:13" ht="11.25" customHeight="1" x14ac:dyDescent="0.25">
      <c r="B37" s="36" t="s">
        <v>13</v>
      </c>
      <c r="C37" s="6"/>
      <c r="D37" s="6"/>
      <c r="E37" s="6"/>
      <c r="F37" s="4"/>
    </row>
    <row r="38" spans="1:13" x14ac:dyDescent="0.25">
      <c r="A38" s="21" t="s">
        <v>48</v>
      </c>
      <c r="B38" s="22" t="s">
        <v>24</v>
      </c>
      <c r="C38" s="22"/>
      <c r="D38" s="22"/>
      <c r="E38" s="22"/>
      <c r="F38" s="58">
        <v>3300</v>
      </c>
    </row>
    <row r="39" spans="1:13" x14ac:dyDescent="0.25">
      <c r="A39" s="21" t="s">
        <v>48</v>
      </c>
      <c r="B39" s="14" t="s">
        <v>0</v>
      </c>
      <c r="C39" s="14"/>
      <c r="D39" s="14"/>
      <c r="E39" s="14"/>
      <c r="F39" s="57">
        <v>0</v>
      </c>
    </row>
    <row r="40" spans="1:13" x14ac:dyDescent="0.25">
      <c r="A40" s="21" t="s">
        <v>48</v>
      </c>
      <c r="B40" s="14" t="s">
        <v>2</v>
      </c>
      <c r="C40" s="14"/>
      <c r="D40" s="14"/>
      <c r="E40" s="14"/>
      <c r="F40" s="57">
        <v>0</v>
      </c>
    </row>
    <row r="41" spans="1:13" x14ac:dyDescent="0.25">
      <c r="A41" s="21" t="s">
        <v>48</v>
      </c>
      <c r="B41" s="14" t="s">
        <v>25</v>
      </c>
      <c r="C41" s="14"/>
      <c r="D41" s="14"/>
      <c r="E41" s="14"/>
      <c r="F41" s="57">
        <v>0</v>
      </c>
    </row>
    <row r="42" spans="1:13" x14ac:dyDescent="0.25">
      <c r="A42" s="21" t="s">
        <v>48</v>
      </c>
      <c r="B42" s="14" t="s">
        <v>3</v>
      </c>
      <c r="C42" s="14"/>
      <c r="D42" s="14"/>
      <c r="E42" s="14"/>
      <c r="F42" s="57">
        <v>0</v>
      </c>
    </row>
    <row r="43" spans="1:13" x14ac:dyDescent="0.25">
      <c r="A43" s="21" t="s">
        <v>48</v>
      </c>
      <c r="B43" s="14" t="s">
        <v>4</v>
      </c>
      <c r="C43" s="14"/>
      <c r="D43" s="14"/>
      <c r="E43" s="14"/>
      <c r="F43" s="57">
        <v>0</v>
      </c>
      <c r="H43" s="38"/>
    </row>
    <row r="44" spans="1:13" x14ac:dyDescent="0.25">
      <c r="B44" s="14" t="s">
        <v>22</v>
      </c>
      <c r="C44" s="14"/>
      <c r="D44" s="14"/>
      <c r="E44" s="14"/>
      <c r="F44" s="57">
        <v>0</v>
      </c>
      <c r="H44" s="26"/>
    </row>
    <row r="45" spans="1:13" x14ac:dyDescent="0.25">
      <c r="A45" s="21" t="s">
        <v>48</v>
      </c>
      <c r="B45" s="61" t="s">
        <v>128</v>
      </c>
      <c r="C45" s="62"/>
      <c r="D45" s="62"/>
      <c r="E45" s="63"/>
      <c r="F45" s="57">
        <v>1600</v>
      </c>
      <c r="H45" s="26"/>
    </row>
    <row r="46" spans="1:13" x14ac:dyDescent="0.25">
      <c r="B46" s="61" t="s">
        <v>129</v>
      </c>
      <c r="C46" s="62"/>
      <c r="D46" s="62"/>
      <c r="E46" s="63"/>
      <c r="F46" s="57">
        <v>300</v>
      </c>
      <c r="H46" s="26"/>
    </row>
    <row r="47" spans="1:13" x14ac:dyDescent="0.25">
      <c r="B47" s="61" t="s">
        <v>137</v>
      </c>
      <c r="C47" s="62"/>
      <c r="D47" s="62"/>
      <c r="E47" s="63"/>
      <c r="F47" s="57">
        <v>900</v>
      </c>
      <c r="H47" s="26"/>
    </row>
    <row r="48" spans="1:13" ht="6" customHeight="1" x14ac:dyDescent="0.25">
      <c r="H48" s="26"/>
    </row>
    <row r="49" spans="1:13" ht="14.25" customHeight="1" x14ac:dyDescent="0.25">
      <c r="B49" s="36" t="s">
        <v>14</v>
      </c>
      <c r="C49" s="6"/>
      <c r="D49" s="6"/>
      <c r="E49" s="6"/>
      <c r="F49" s="4"/>
      <c r="H49" s="26"/>
    </row>
    <row r="50" spans="1:13" x14ac:dyDescent="0.25">
      <c r="B50" s="14" t="s">
        <v>72</v>
      </c>
      <c r="C50" s="14"/>
      <c r="D50" s="14"/>
      <c r="E50" s="14"/>
      <c r="F50" s="57">
        <v>75</v>
      </c>
      <c r="H50" s="26"/>
    </row>
    <row r="51" spans="1:13" x14ac:dyDescent="0.25">
      <c r="B51" s="14" t="s">
        <v>91</v>
      </c>
      <c r="C51" s="14"/>
      <c r="D51" s="14"/>
      <c r="E51" s="14"/>
      <c r="F51" s="57">
        <v>25</v>
      </c>
      <c r="H51" s="26"/>
    </row>
    <row r="52" spans="1:13" x14ac:dyDescent="0.25">
      <c r="A52" s="21" t="s">
        <v>48</v>
      </c>
      <c r="B52" s="14" t="s">
        <v>28</v>
      </c>
      <c r="C52" s="14"/>
      <c r="D52" s="14"/>
      <c r="E52" s="14"/>
      <c r="F52" s="57">
        <v>0</v>
      </c>
      <c r="H52" s="26"/>
    </row>
    <row r="53" spans="1:13" ht="13.8" thickBot="1" x14ac:dyDescent="0.3">
      <c r="B53" s="61" t="s">
        <v>59</v>
      </c>
      <c r="C53" s="62"/>
      <c r="D53" s="62"/>
      <c r="E53" s="63"/>
      <c r="F53" s="64">
        <v>0</v>
      </c>
      <c r="H53" s="16"/>
      <c r="I53" s="16"/>
      <c r="J53" s="16"/>
      <c r="K53" s="16"/>
      <c r="L53" s="16"/>
      <c r="M53" s="16"/>
    </row>
    <row r="54" spans="1:13" ht="13.8" thickTop="1" x14ac:dyDescent="0.25">
      <c r="B54" s="12" t="s">
        <v>65</v>
      </c>
      <c r="C54" s="14"/>
      <c r="D54" s="14"/>
      <c r="E54" s="14"/>
      <c r="F54" s="29">
        <f>SUM(F23:F53)</f>
        <v>6200</v>
      </c>
    </row>
    <row r="55" spans="1:13" ht="6" customHeight="1" x14ac:dyDescent="0.25">
      <c r="H55" s="26"/>
    </row>
    <row r="56" spans="1:13" x14ac:dyDescent="0.25">
      <c r="A56" s="21" t="s">
        <v>48</v>
      </c>
      <c r="B56" s="14" t="s">
        <v>8</v>
      </c>
      <c r="C56" s="14"/>
      <c r="D56" s="14"/>
      <c r="E56" s="14"/>
      <c r="F56" s="66">
        <v>0.05</v>
      </c>
      <c r="G56" s="37"/>
      <c r="H56" s="3"/>
      <c r="I56" s="3"/>
      <c r="J56" s="3"/>
      <c r="K56" s="3"/>
    </row>
    <row r="57" spans="1:13" x14ac:dyDescent="0.25">
      <c r="B57" s="14" t="s">
        <v>26</v>
      </c>
      <c r="C57" s="14"/>
      <c r="D57" s="14"/>
      <c r="E57" s="14"/>
      <c r="F57" s="59">
        <v>5</v>
      </c>
      <c r="G57" s="11"/>
      <c r="H57" s="3"/>
      <c r="I57" s="3"/>
      <c r="J57" s="3"/>
      <c r="K57" s="3"/>
    </row>
    <row r="58" spans="1:13" x14ac:dyDescent="0.25">
      <c r="B58" s="13" t="s">
        <v>50</v>
      </c>
      <c r="C58" s="14"/>
      <c r="D58" s="14"/>
      <c r="E58" s="14"/>
      <c r="F58" s="29">
        <f>-PPMT(F56,1,F57,F54)</f>
        <v>1122.0437483952624</v>
      </c>
      <c r="G58" s="29">
        <f>+F58</f>
        <v>1122.0437483952624</v>
      </c>
      <c r="H58" s="3"/>
      <c r="I58" s="3"/>
      <c r="J58" s="3"/>
      <c r="K58" s="3"/>
    </row>
    <row r="59" spans="1:13" ht="13.8" thickBot="1" x14ac:dyDescent="0.3">
      <c r="B59" s="13" t="s">
        <v>51</v>
      </c>
      <c r="C59" s="13"/>
      <c r="D59" s="13"/>
      <c r="E59" s="13"/>
      <c r="F59" s="41">
        <f>-IPMT(F56,1,F57,F54)</f>
        <v>310</v>
      </c>
      <c r="G59" s="41">
        <f>+F59</f>
        <v>310</v>
      </c>
      <c r="H59" s="3"/>
      <c r="I59" s="3"/>
      <c r="J59" s="3"/>
      <c r="K59" s="3"/>
    </row>
    <row r="60" spans="1:13" ht="13.8" thickTop="1" x14ac:dyDescent="0.25">
      <c r="B60" s="14" t="s">
        <v>27</v>
      </c>
      <c r="C60" s="14"/>
      <c r="D60" s="14"/>
      <c r="E60" s="14"/>
      <c r="F60" s="29">
        <f>PMT(F56,F57,-F54,0)</f>
        <v>1432.0437483952624</v>
      </c>
      <c r="G60" s="29">
        <f>+F60</f>
        <v>1432.0437483952624</v>
      </c>
      <c r="H60" s="3"/>
      <c r="I60" s="3"/>
      <c r="J60" s="3"/>
      <c r="K60" s="3"/>
    </row>
    <row r="61" spans="1:13" ht="6" customHeight="1" x14ac:dyDescent="0.25">
      <c r="H61" s="26"/>
    </row>
    <row r="62" spans="1:13" x14ac:dyDescent="0.25">
      <c r="B62" s="13" t="s">
        <v>63</v>
      </c>
      <c r="C62" s="13"/>
      <c r="D62" s="13"/>
      <c r="E62" s="13"/>
      <c r="F62" s="29">
        <f>F54/7</f>
        <v>885.71428571428567</v>
      </c>
      <c r="G62" s="29">
        <f>+F62</f>
        <v>885.71428571428567</v>
      </c>
      <c r="H62" s="3"/>
      <c r="I62" s="3"/>
      <c r="J62" s="3"/>
      <c r="K62" s="3"/>
    </row>
    <row r="63" spans="1:13" ht="6" customHeight="1" x14ac:dyDescent="0.25">
      <c r="H63" s="26"/>
    </row>
    <row r="64" spans="1:13" x14ac:dyDescent="0.25">
      <c r="B64" s="13" t="s">
        <v>53</v>
      </c>
      <c r="C64" s="13"/>
      <c r="D64" s="13"/>
      <c r="E64" s="13"/>
      <c r="F64" s="58">
        <v>0</v>
      </c>
      <c r="H64" s="3"/>
      <c r="I64" s="3"/>
      <c r="J64" s="3"/>
      <c r="K64" s="3"/>
    </row>
    <row r="65" spans="1:13" x14ac:dyDescent="0.25">
      <c r="B65" s="28" t="s">
        <v>54</v>
      </c>
      <c r="C65" s="28"/>
      <c r="D65" s="28"/>
      <c r="E65" s="39"/>
      <c r="F65" s="58">
        <v>0</v>
      </c>
      <c r="H65" s="3"/>
      <c r="I65" s="3"/>
      <c r="J65" s="3"/>
      <c r="K65" s="3"/>
    </row>
    <row r="66" spans="1:13" x14ac:dyDescent="0.25">
      <c r="B66" s="13" t="s">
        <v>127</v>
      </c>
      <c r="C66" s="13"/>
      <c r="D66" s="13"/>
      <c r="E66" s="13"/>
      <c r="F66" s="29">
        <f>+F64+F65</f>
        <v>0</v>
      </c>
      <c r="H66" s="3"/>
      <c r="I66" s="3"/>
      <c r="J66" s="3"/>
      <c r="K66" s="3"/>
    </row>
    <row r="67" spans="1:13" ht="6" customHeight="1" x14ac:dyDescent="0.25">
      <c r="H67" s="26"/>
    </row>
    <row r="68" spans="1:13" ht="12.75" customHeight="1" x14ac:dyDescent="0.25">
      <c r="B68" s="93" t="s">
        <v>64</v>
      </c>
      <c r="C68" s="96"/>
      <c r="D68" s="96"/>
      <c r="E68" s="96"/>
      <c r="F68" s="97"/>
      <c r="G68" s="2"/>
    </row>
    <row r="69" spans="1:13" x14ac:dyDescent="0.25">
      <c r="A69" s="80"/>
      <c r="B69" t="s">
        <v>107</v>
      </c>
      <c r="C69" s="35"/>
      <c r="D69" s="35"/>
      <c r="E69" s="35"/>
      <c r="F69" s="78">
        <f>+F12</f>
        <v>1500</v>
      </c>
      <c r="G69" s="78">
        <f>+G12</f>
        <v>1500</v>
      </c>
    </row>
    <row r="70" spans="1:13" x14ac:dyDescent="0.25">
      <c r="A70" s="80"/>
      <c r="B70" t="s">
        <v>106</v>
      </c>
      <c r="C70" s="35"/>
      <c r="D70" s="35"/>
      <c r="E70" s="35"/>
      <c r="F70" s="79">
        <f>+F17</f>
        <v>3.5</v>
      </c>
      <c r="G70" s="79">
        <f>+G17</f>
        <v>3.5</v>
      </c>
    </row>
    <row r="71" spans="1:13" x14ac:dyDescent="0.25">
      <c r="B71" t="s">
        <v>108</v>
      </c>
      <c r="D71" s="30"/>
      <c r="F71" s="29">
        <f>+F12*F17</f>
        <v>5250</v>
      </c>
      <c r="G71" s="29">
        <f>+G12*G17</f>
        <v>5250</v>
      </c>
    </row>
    <row r="72" spans="1:13" x14ac:dyDescent="0.25">
      <c r="B72" s="14" t="s">
        <v>77</v>
      </c>
      <c r="C72" s="25"/>
      <c r="D72" s="3"/>
      <c r="E72" s="14"/>
      <c r="F72" s="29">
        <f>F18*(F12*F6)</f>
        <v>1378.125</v>
      </c>
      <c r="G72" s="29">
        <f>G18*(G12*F6)</f>
        <v>1378.125</v>
      </c>
      <c r="K72" s="5"/>
    </row>
    <row r="73" spans="1:13" x14ac:dyDescent="0.25">
      <c r="B73" s="13" t="s">
        <v>78</v>
      </c>
      <c r="C73" s="25"/>
      <c r="D73" s="3"/>
      <c r="E73" s="14"/>
      <c r="F73" s="29">
        <f>+F19*(F12*7.5*$G$7/$G$5)</f>
        <v>126.5625</v>
      </c>
      <c r="G73" s="29">
        <f>+G19*(G12*7.5*$G$7/$G$5)</f>
        <v>126.5625</v>
      </c>
      <c r="H73" s="16"/>
      <c r="I73" s="16"/>
      <c r="J73" s="16"/>
      <c r="K73" s="16"/>
      <c r="L73" s="16"/>
      <c r="M73" s="16"/>
    </row>
    <row r="74" spans="1:13" ht="6" customHeight="1" x14ac:dyDescent="0.25">
      <c r="H74" s="26"/>
    </row>
    <row r="75" spans="1:13" x14ac:dyDescent="0.25">
      <c r="A75" s="21" t="s">
        <v>48</v>
      </c>
      <c r="B75" s="14" t="s">
        <v>74</v>
      </c>
      <c r="C75" s="25"/>
      <c r="D75" s="3"/>
      <c r="E75" s="14"/>
      <c r="F75" s="57">
        <v>6.5</v>
      </c>
      <c r="G75" s="57">
        <v>6.5</v>
      </c>
      <c r="H75" s="16"/>
      <c r="I75" s="16"/>
      <c r="J75" s="16"/>
      <c r="K75" s="16"/>
      <c r="L75" s="16"/>
      <c r="M75" s="16"/>
    </row>
    <row r="76" spans="1:13" x14ac:dyDescent="0.25">
      <c r="B76" s="14" t="s">
        <v>75</v>
      </c>
      <c r="C76" s="25"/>
      <c r="D76" s="3"/>
      <c r="E76" s="14"/>
      <c r="F76" s="59">
        <v>400</v>
      </c>
      <c r="G76" s="59">
        <v>400</v>
      </c>
      <c r="H76" s="16"/>
      <c r="I76" s="16"/>
      <c r="J76" s="16"/>
      <c r="K76" s="16"/>
      <c r="L76" s="16"/>
      <c r="M76" s="16"/>
    </row>
    <row r="77" spans="1:13" x14ac:dyDescent="0.25">
      <c r="B77" s="13" t="s">
        <v>79</v>
      </c>
      <c r="C77" s="25"/>
      <c r="D77" s="3"/>
      <c r="E77" s="14"/>
      <c r="F77" s="24">
        <f>F12/F76*F75</f>
        <v>24.375</v>
      </c>
      <c r="G77" s="24">
        <f>G12/G76*G75</f>
        <v>24.375</v>
      </c>
      <c r="H77" s="16"/>
      <c r="I77" s="16"/>
      <c r="J77" s="16"/>
      <c r="K77" s="16"/>
      <c r="L77" s="16"/>
      <c r="M77" s="16"/>
    </row>
    <row r="78" spans="1:13" ht="6" customHeight="1" x14ac:dyDescent="0.25">
      <c r="H78" s="26"/>
    </row>
    <row r="79" spans="1:13" x14ac:dyDescent="0.25">
      <c r="B79" s="14" t="s">
        <v>18</v>
      </c>
      <c r="C79" s="14"/>
      <c r="D79" s="14"/>
      <c r="E79" s="14"/>
      <c r="H79" s="16"/>
      <c r="I79" s="16"/>
      <c r="J79" s="16"/>
      <c r="K79" s="16"/>
      <c r="L79" s="16"/>
      <c r="M79" s="16"/>
    </row>
    <row r="80" spans="1:13" x14ac:dyDescent="0.25">
      <c r="A80" s="21" t="s">
        <v>48</v>
      </c>
      <c r="B80" s="14" t="s">
        <v>82</v>
      </c>
      <c r="C80" s="14"/>
      <c r="D80" s="14"/>
      <c r="E80" s="14"/>
      <c r="F80" s="57">
        <v>9.5</v>
      </c>
      <c r="G80" s="57">
        <v>9.5</v>
      </c>
    </row>
    <row r="81" spans="1:13" x14ac:dyDescent="0.25">
      <c r="B81" s="13" t="s">
        <v>81</v>
      </c>
      <c r="C81" s="14"/>
      <c r="D81" s="14"/>
      <c r="E81" s="14"/>
      <c r="F81" s="59">
        <v>125</v>
      </c>
      <c r="G81" s="59">
        <v>125</v>
      </c>
      <c r="H81" s="16"/>
      <c r="I81" s="16"/>
      <c r="J81" s="16"/>
      <c r="K81" s="16"/>
      <c r="L81" s="16"/>
      <c r="M81" s="16"/>
    </row>
    <row r="82" spans="1:13" x14ac:dyDescent="0.25">
      <c r="B82" s="13" t="s">
        <v>80</v>
      </c>
      <c r="C82" s="14"/>
      <c r="D82" s="14"/>
      <c r="E82" s="14"/>
      <c r="F82" s="24">
        <f>(2*F13)*(F80/F81)</f>
        <v>2.85</v>
      </c>
      <c r="G82" s="24">
        <f>(2*G13)*(G80/G81)</f>
        <v>2.85</v>
      </c>
      <c r="H82" s="16"/>
      <c r="I82" s="16"/>
      <c r="J82" s="16"/>
      <c r="K82" s="16"/>
      <c r="L82" s="16"/>
      <c r="M82" s="16"/>
    </row>
    <row r="83" spans="1:13" ht="6" customHeight="1" x14ac:dyDescent="0.25">
      <c r="B83" t="s">
        <v>73</v>
      </c>
      <c r="H83" s="26"/>
    </row>
    <row r="84" spans="1:13" x14ac:dyDescent="0.25">
      <c r="A84" s="21" t="s">
        <v>48</v>
      </c>
      <c r="B84" s="14" t="s">
        <v>83</v>
      </c>
      <c r="C84" s="14"/>
      <c r="D84" s="14"/>
      <c r="E84" s="14"/>
      <c r="F84" s="57">
        <v>1.25</v>
      </c>
      <c r="G84" s="57">
        <v>1.25</v>
      </c>
      <c r="H84" s="16"/>
      <c r="I84" s="16"/>
      <c r="J84" s="16"/>
      <c r="K84" s="16"/>
      <c r="L84" s="16"/>
      <c r="M84" s="16"/>
    </row>
    <row r="85" spans="1:13" x14ac:dyDescent="0.25">
      <c r="B85" s="13" t="s">
        <v>92</v>
      </c>
      <c r="C85" s="14"/>
      <c r="D85" s="14"/>
      <c r="E85" s="14"/>
      <c r="F85" s="24">
        <f>+F13/20*F84*3</f>
        <v>3.515625</v>
      </c>
      <c r="G85" s="24">
        <f>+G13/20*G84*3</f>
        <v>3.515625</v>
      </c>
      <c r="H85" s="16"/>
      <c r="I85" s="16"/>
      <c r="J85" s="16"/>
      <c r="K85" s="16"/>
      <c r="L85" s="16"/>
      <c r="M85" s="16"/>
    </row>
    <row r="86" spans="1:13" x14ac:dyDescent="0.25">
      <c r="A86" s="21" t="s">
        <v>48</v>
      </c>
      <c r="B86" s="14" t="s">
        <v>76</v>
      </c>
      <c r="C86" s="14"/>
      <c r="D86" s="14"/>
      <c r="E86" s="14"/>
      <c r="F86" s="57">
        <v>2.5</v>
      </c>
      <c r="G86" s="57">
        <v>2.5</v>
      </c>
      <c r="H86" s="16"/>
      <c r="I86" s="16"/>
      <c r="J86" s="16"/>
      <c r="K86" s="16"/>
      <c r="L86" s="16"/>
      <c r="M86" s="16"/>
    </row>
    <row r="87" spans="1:13" x14ac:dyDescent="0.25">
      <c r="A87" s="21" t="s">
        <v>48</v>
      </c>
      <c r="B87" s="14" t="s">
        <v>34</v>
      </c>
      <c r="C87" s="14"/>
      <c r="D87" s="14"/>
      <c r="E87" s="14"/>
      <c r="F87" s="57">
        <v>0</v>
      </c>
      <c r="G87" s="57">
        <v>0</v>
      </c>
      <c r="H87" s="16"/>
      <c r="I87" s="16"/>
      <c r="J87" s="16"/>
      <c r="K87" s="16"/>
      <c r="L87" s="16"/>
      <c r="M87" s="16"/>
    </row>
    <row r="88" spans="1:13" x14ac:dyDescent="0.25">
      <c r="B88" s="61" t="s">
        <v>138</v>
      </c>
      <c r="C88" s="62"/>
      <c r="D88" s="62"/>
      <c r="E88" s="63"/>
      <c r="F88" s="57">
        <v>0</v>
      </c>
      <c r="G88" s="57">
        <v>100</v>
      </c>
      <c r="H88" s="16"/>
      <c r="I88" s="16"/>
      <c r="J88" s="16"/>
      <c r="K88" s="16"/>
      <c r="L88" s="16"/>
      <c r="M88" s="16"/>
    </row>
    <row r="89" spans="1:13" ht="6" customHeight="1" x14ac:dyDescent="0.25">
      <c r="H89" s="26"/>
    </row>
    <row r="90" spans="1:13" x14ac:dyDescent="0.25">
      <c r="A90" s="21" t="s">
        <v>48</v>
      </c>
      <c r="B90" s="14" t="s">
        <v>113</v>
      </c>
      <c r="C90" s="14"/>
      <c r="D90" s="14"/>
      <c r="E90" s="14"/>
      <c r="F90" s="57">
        <v>8</v>
      </c>
      <c r="G90" s="57">
        <v>8</v>
      </c>
      <c r="H90" s="16"/>
      <c r="I90" s="16"/>
      <c r="J90" s="16"/>
      <c r="K90" s="16"/>
      <c r="L90" s="16"/>
      <c r="M90" s="16"/>
    </row>
    <row r="91" spans="1:13" x14ac:dyDescent="0.25">
      <c r="B91" s="14" t="s">
        <v>84</v>
      </c>
      <c r="C91" s="14"/>
      <c r="D91" s="14"/>
      <c r="E91" s="14"/>
      <c r="F91" s="59">
        <v>3</v>
      </c>
      <c r="G91" s="59">
        <v>3</v>
      </c>
    </row>
    <row r="92" spans="1:13" x14ac:dyDescent="0.25">
      <c r="B92" s="14" t="s">
        <v>112</v>
      </c>
      <c r="C92" s="14"/>
      <c r="D92" s="14"/>
      <c r="E92" s="14"/>
      <c r="F92" s="66">
        <v>1</v>
      </c>
      <c r="G92" s="66">
        <v>1</v>
      </c>
    </row>
    <row r="93" spans="1:13" x14ac:dyDescent="0.25">
      <c r="B93" s="14" t="s">
        <v>114</v>
      </c>
      <c r="C93" s="14"/>
      <c r="D93" s="14"/>
      <c r="E93" s="14"/>
      <c r="F93" s="29">
        <f>+F90*F91</f>
        <v>24</v>
      </c>
      <c r="G93" s="29">
        <f>+G90*G91</f>
        <v>24</v>
      </c>
    </row>
    <row r="94" spans="1:13" x14ac:dyDescent="0.25">
      <c r="A94" s="21" t="s">
        <v>48</v>
      </c>
      <c r="B94" s="13" t="s">
        <v>115</v>
      </c>
      <c r="C94" s="14"/>
      <c r="D94" s="14"/>
      <c r="E94" s="14"/>
      <c r="F94" s="29">
        <f>+F93*F13</f>
        <v>450</v>
      </c>
      <c r="G94" s="29">
        <f>+G93*G13</f>
        <v>450</v>
      </c>
      <c r="H94" s="16"/>
      <c r="I94" s="16"/>
      <c r="J94" s="16"/>
      <c r="K94" s="16"/>
      <c r="L94" s="16"/>
      <c r="M94" s="16"/>
    </row>
    <row r="95" spans="1:13" ht="6" customHeight="1" x14ac:dyDescent="0.25">
      <c r="H95" s="26"/>
    </row>
    <row r="96" spans="1:13" x14ac:dyDescent="0.25">
      <c r="B96" s="52" t="s">
        <v>97</v>
      </c>
      <c r="C96" s="14"/>
      <c r="D96" s="14"/>
      <c r="E96" s="14"/>
      <c r="F96" s="29"/>
      <c r="G96" s="29"/>
      <c r="H96" s="16"/>
      <c r="I96" s="16"/>
      <c r="J96" s="16"/>
      <c r="K96" s="16"/>
      <c r="L96" s="16"/>
      <c r="M96" s="16"/>
    </row>
    <row r="97" spans="1:14" x14ac:dyDescent="0.25">
      <c r="A97" s="21" t="s">
        <v>48</v>
      </c>
      <c r="B97" s="13" t="s">
        <v>102</v>
      </c>
      <c r="C97" s="14"/>
      <c r="D97" s="14"/>
      <c r="E97" s="14"/>
      <c r="F97" s="65">
        <v>5.49</v>
      </c>
      <c r="G97" s="65">
        <v>5.49</v>
      </c>
      <c r="H97" s="16"/>
      <c r="I97" s="16"/>
      <c r="J97" s="16"/>
      <c r="K97" s="16"/>
      <c r="L97" s="16"/>
      <c r="M97" s="16"/>
    </row>
    <row r="98" spans="1:14" x14ac:dyDescent="0.25">
      <c r="A98" s="21" t="s">
        <v>48</v>
      </c>
      <c r="B98" s="13" t="s">
        <v>98</v>
      </c>
      <c r="C98" s="14"/>
      <c r="D98" s="14"/>
      <c r="E98" s="14"/>
      <c r="F98" s="59">
        <v>2</v>
      </c>
      <c r="G98" s="59">
        <v>2</v>
      </c>
      <c r="H98" s="16"/>
      <c r="I98" s="16"/>
      <c r="J98" s="16"/>
      <c r="K98" s="16"/>
      <c r="L98" s="16"/>
      <c r="M98" s="16"/>
    </row>
    <row r="99" spans="1:14" x14ac:dyDescent="0.25">
      <c r="B99" s="13" t="s">
        <v>103</v>
      </c>
      <c r="C99" s="14"/>
      <c r="D99" s="14"/>
      <c r="E99" s="14"/>
      <c r="F99" s="24">
        <f>+F100*F12</f>
        <v>51.468750000000007</v>
      </c>
      <c r="G99" s="24">
        <f>+G100*G12</f>
        <v>51.468750000000007</v>
      </c>
      <c r="H99" s="16"/>
      <c r="I99" s="16"/>
      <c r="J99" s="16"/>
      <c r="K99" s="16"/>
      <c r="L99" s="16"/>
      <c r="M99" s="16"/>
    </row>
    <row r="100" spans="1:14" x14ac:dyDescent="0.25">
      <c r="B100" s="13" t="s">
        <v>101</v>
      </c>
      <c r="C100" s="14"/>
      <c r="D100" s="14"/>
      <c r="E100" s="14"/>
      <c r="F100" s="24">
        <f>IF(F98=0,0,(F97/F98)/F11)</f>
        <v>3.4312500000000003E-2</v>
      </c>
      <c r="G100" s="24">
        <f>IF(G98=0,0,(G97/G98)/F11)</f>
        <v>3.4312500000000003E-2</v>
      </c>
      <c r="H100" s="16"/>
      <c r="I100" s="16"/>
      <c r="J100" s="16"/>
      <c r="K100" s="16"/>
      <c r="L100" s="16"/>
      <c r="M100" s="16"/>
    </row>
    <row r="101" spans="1:14" ht="6" customHeight="1" x14ac:dyDescent="0.25">
      <c r="H101" s="26"/>
    </row>
    <row r="102" spans="1:14" ht="13.5" customHeight="1" x14ac:dyDescent="0.25">
      <c r="A102" s="21" t="s">
        <v>48</v>
      </c>
      <c r="B102" s="13" t="s">
        <v>99</v>
      </c>
      <c r="C102" s="14"/>
      <c r="D102" s="14"/>
      <c r="E102" s="14"/>
      <c r="F102" s="65">
        <v>0</v>
      </c>
      <c r="G102" s="65">
        <v>0</v>
      </c>
      <c r="H102" s="16"/>
      <c r="I102" s="16"/>
      <c r="J102" s="16"/>
      <c r="K102" s="16"/>
      <c r="L102" s="16"/>
      <c r="M102" s="16"/>
    </row>
    <row r="103" spans="1:14" x14ac:dyDescent="0.25">
      <c r="A103" s="21" t="s">
        <v>48</v>
      </c>
      <c r="B103" s="13" t="s">
        <v>100</v>
      </c>
      <c r="C103" s="14"/>
      <c r="D103" s="14"/>
      <c r="E103" s="14"/>
      <c r="F103" s="59">
        <v>0</v>
      </c>
      <c r="G103" s="59">
        <v>0</v>
      </c>
      <c r="H103" s="16"/>
      <c r="I103" s="16"/>
      <c r="J103" s="16"/>
      <c r="K103" s="16"/>
      <c r="L103" s="16"/>
      <c r="M103" s="16"/>
    </row>
    <row r="104" spans="1:14" x14ac:dyDescent="0.25">
      <c r="B104" s="13" t="s">
        <v>104</v>
      </c>
      <c r="C104" s="14"/>
      <c r="D104" s="14"/>
      <c r="E104" s="14"/>
      <c r="F104" s="24">
        <f>+F105*F12</f>
        <v>0</v>
      </c>
      <c r="G104" s="24">
        <f>+G105*G12</f>
        <v>0</v>
      </c>
      <c r="H104" s="16"/>
      <c r="I104" s="16"/>
      <c r="J104" s="16"/>
      <c r="K104" s="16"/>
      <c r="L104" s="16"/>
      <c r="M104" s="16"/>
    </row>
    <row r="105" spans="1:14" x14ac:dyDescent="0.25">
      <c r="B105" s="13" t="s">
        <v>101</v>
      </c>
      <c r="C105" s="14"/>
      <c r="D105" s="14"/>
      <c r="E105" s="14"/>
      <c r="F105" s="24">
        <f>IF(F103=0,0,(F102/F103)/F11)</f>
        <v>0</v>
      </c>
      <c r="G105" s="24">
        <f>IF(G103=0,0,(G102/G103)/F11)</f>
        <v>0</v>
      </c>
      <c r="H105" s="16"/>
      <c r="I105" s="16"/>
      <c r="J105" s="16"/>
      <c r="K105" s="16"/>
      <c r="L105" s="16"/>
      <c r="M105" s="16"/>
    </row>
    <row r="106" spans="1:14" ht="6" customHeight="1" x14ac:dyDescent="0.25">
      <c r="H106" s="26"/>
    </row>
    <row r="107" spans="1:14" x14ac:dyDescent="0.25">
      <c r="B107" s="27" t="s">
        <v>110</v>
      </c>
      <c r="C107" s="14"/>
      <c r="D107" s="14"/>
      <c r="E107" s="14"/>
      <c r="F107" s="29">
        <f>F71+F72+F73+F77+F82+F85+F86+F87+F88+F94+F99+F104</f>
        <v>7289.3968750000004</v>
      </c>
      <c r="G107" s="29">
        <f>G71+G72+G73+G77+G82+G85+G86+G87+G88+G94+G99+G104</f>
        <v>7389.3968750000004</v>
      </c>
      <c r="H107" s="16"/>
      <c r="I107" s="16"/>
      <c r="J107" s="16"/>
      <c r="K107" s="16"/>
      <c r="L107" s="16"/>
      <c r="M107" s="16"/>
    </row>
    <row r="108" spans="1:14" ht="6" customHeight="1" x14ac:dyDescent="0.25">
      <c r="H108" s="26"/>
    </row>
    <row r="109" spans="1:14" x14ac:dyDescent="0.25">
      <c r="B109" s="93" t="s">
        <v>105</v>
      </c>
      <c r="C109" s="94"/>
      <c r="D109" s="94"/>
      <c r="E109" s="94"/>
      <c r="F109" s="94"/>
      <c r="G109" s="95"/>
      <c r="H109" s="45"/>
      <c r="I109" s="16"/>
      <c r="J109" s="16"/>
      <c r="K109" s="16"/>
      <c r="L109" s="16"/>
      <c r="M109" s="16"/>
      <c r="N109" s="16"/>
    </row>
    <row r="110" spans="1:14" x14ac:dyDescent="0.25">
      <c r="B110" s="1" t="s">
        <v>30</v>
      </c>
      <c r="C110" s="1"/>
      <c r="D110" s="1"/>
      <c r="E110" s="1"/>
      <c r="H110" s="2"/>
    </row>
    <row r="111" spans="1:14" x14ac:dyDescent="0.25">
      <c r="A111" s="21" t="s">
        <v>48</v>
      </c>
      <c r="B111" s="14" t="s">
        <v>86</v>
      </c>
      <c r="C111" s="14"/>
      <c r="D111" s="14"/>
      <c r="E111" s="14"/>
      <c r="F111" s="57">
        <v>0</v>
      </c>
      <c r="G111" s="57">
        <v>0</v>
      </c>
    </row>
    <row r="112" spans="1:14" x14ac:dyDescent="0.25">
      <c r="A112" s="21" t="s">
        <v>48</v>
      </c>
      <c r="B112" s="14" t="s">
        <v>87</v>
      </c>
      <c r="C112" s="14"/>
      <c r="D112" s="14"/>
      <c r="E112" s="14"/>
      <c r="F112" s="57">
        <v>0.1</v>
      </c>
      <c r="G112" s="57">
        <v>0.1</v>
      </c>
      <c r="H112" s="16"/>
      <c r="I112" s="16"/>
      <c r="J112" s="16"/>
      <c r="K112" s="16"/>
      <c r="L112" s="16"/>
      <c r="M112" s="16"/>
    </row>
    <row r="113" spans="1:13" x14ac:dyDescent="0.25">
      <c r="B113" s="14" t="s">
        <v>88</v>
      </c>
      <c r="C113" s="14"/>
      <c r="D113" s="14"/>
      <c r="E113" s="14"/>
      <c r="F113" s="24">
        <f>+F111+F112</f>
        <v>0.1</v>
      </c>
      <c r="G113" s="24">
        <f>+G111+G112</f>
        <v>0.1</v>
      </c>
      <c r="H113" s="16"/>
      <c r="I113" s="16"/>
      <c r="J113" s="16"/>
      <c r="K113" s="16"/>
      <c r="L113" s="16"/>
      <c r="M113" s="16"/>
    </row>
    <row r="114" spans="1:13" ht="6" customHeight="1" x14ac:dyDescent="0.25">
      <c r="H114" s="26"/>
    </row>
    <row r="115" spans="1:13" x14ac:dyDescent="0.25">
      <c r="A115" s="21" t="s">
        <v>48</v>
      </c>
      <c r="B115" s="14" t="s">
        <v>133</v>
      </c>
      <c r="C115" s="14"/>
      <c r="D115" s="14"/>
      <c r="E115" s="14"/>
      <c r="F115" s="57">
        <v>0</v>
      </c>
      <c r="G115" s="57">
        <v>0</v>
      </c>
    </row>
    <row r="116" spans="1:13" x14ac:dyDescent="0.25">
      <c r="A116" s="21" t="s">
        <v>48</v>
      </c>
      <c r="B116" s="13" t="s">
        <v>134</v>
      </c>
      <c r="C116" s="14"/>
      <c r="D116" s="14"/>
      <c r="E116" s="14"/>
      <c r="F116" s="57">
        <v>0</v>
      </c>
      <c r="G116" s="57">
        <v>0</v>
      </c>
      <c r="H116" s="16"/>
      <c r="I116" s="16"/>
      <c r="J116" s="16"/>
      <c r="K116" s="16"/>
      <c r="L116" s="16"/>
      <c r="M116" s="16"/>
    </row>
    <row r="117" spans="1:13" x14ac:dyDescent="0.25">
      <c r="A117" s="55"/>
      <c r="B117" s="13" t="s">
        <v>135</v>
      </c>
      <c r="C117" s="14"/>
      <c r="D117" s="14"/>
      <c r="E117" s="14"/>
      <c r="F117" s="57">
        <v>2000</v>
      </c>
      <c r="G117" s="57">
        <v>0</v>
      </c>
      <c r="H117" s="16"/>
      <c r="I117" s="16"/>
      <c r="J117" s="16"/>
      <c r="K117" s="16"/>
      <c r="L117" s="16"/>
      <c r="M117" s="16"/>
    </row>
    <row r="118" spans="1:13" x14ac:dyDescent="0.25">
      <c r="B118" s="13" t="s">
        <v>136</v>
      </c>
      <c r="C118" s="14"/>
      <c r="D118" s="14"/>
      <c r="E118" s="14"/>
      <c r="F118" s="29">
        <f>+F116+F115+F117</f>
        <v>2000</v>
      </c>
      <c r="G118" s="29">
        <f>+G116+G115+G117</f>
        <v>0</v>
      </c>
      <c r="H118" s="16"/>
      <c r="I118" s="16"/>
      <c r="J118" s="16"/>
      <c r="K118" s="16"/>
      <c r="L118" s="16"/>
      <c r="M118" s="16"/>
    </row>
    <row r="119" spans="1:13" ht="6" customHeight="1" x14ac:dyDescent="0.25">
      <c r="H119" s="26"/>
    </row>
    <row r="120" spans="1:13" x14ac:dyDescent="0.25">
      <c r="B120" s="14" t="s">
        <v>89</v>
      </c>
      <c r="C120" s="14"/>
      <c r="D120" s="14"/>
      <c r="E120" s="14"/>
      <c r="F120" s="29">
        <f>+F118+F113*F12</f>
        <v>2150</v>
      </c>
      <c r="G120" s="29">
        <f>+G118+G113*G12</f>
        <v>150</v>
      </c>
    </row>
    <row r="121" spans="1:13" ht="6" customHeight="1" x14ac:dyDescent="0.25">
      <c r="H121" s="26"/>
    </row>
    <row r="122" spans="1:13" x14ac:dyDescent="0.25">
      <c r="A122" s="21" t="s">
        <v>48</v>
      </c>
      <c r="B122" s="14" t="s">
        <v>60</v>
      </c>
      <c r="C122" s="14"/>
      <c r="D122" s="14"/>
      <c r="E122" s="14"/>
      <c r="F122" s="57">
        <v>0</v>
      </c>
      <c r="G122" s="57">
        <v>0</v>
      </c>
    </row>
    <row r="123" spans="1:13" x14ac:dyDescent="0.25">
      <c r="B123" s="14" t="s">
        <v>33</v>
      </c>
      <c r="C123" s="14"/>
      <c r="D123" s="14"/>
      <c r="E123" s="14"/>
      <c r="F123" s="29">
        <f>+F122*F14</f>
        <v>0</v>
      </c>
      <c r="G123" s="29">
        <f>+G122*G14</f>
        <v>0</v>
      </c>
    </row>
    <row r="124" spans="1:13" ht="6" customHeight="1" x14ac:dyDescent="0.25">
      <c r="H124" s="26"/>
    </row>
    <row r="125" spans="1:13" x14ac:dyDescent="0.25">
      <c r="B125" s="93" t="s">
        <v>141</v>
      </c>
      <c r="C125" s="94"/>
      <c r="D125" s="94"/>
      <c r="E125" s="94"/>
      <c r="F125" s="94"/>
      <c r="G125" s="95"/>
    </row>
    <row r="126" spans="1:13" x14ac:dyDescent="0.25">
      <c r="A126" s="21" t="s">
        <v>48</v>
      </c>
      <c r="B126" s="22" t="s">
        <v>31</v>
      </c>
      <c r="C126" s="22"/>
      <c r="D126" s="22"/>
      <c r="E126" s="22"/>
      <c r="F126" s="67">
        <v>0.24399999999999999</v>
      </c>
      <c r="G126" s="67">
        <v>0.24399999999999999</v>
      </c>
    </row>
    <row r="127" spans="1:13" x14ac:dyDescent="0.25">
      <c r="A127" s="21" t="s">
        <v>48</v>
      </c>
      <c r="B127" s="13" t="s">
        <v>32</v>
      </c>
      <c r="C127" s="13"/>
      <c r="D127" s="13"/>
      <c r="E127" s="13"/>
      <c r="F127" s="67">
        <v>0.28499999999999998</v>
      </c>
      <c r="G127" s="67">
        <v>0.28499999999999998</v>
      </c>
    </row>
    <row r="128" spans="1:13" x14ac:dyDescent="0.25">
      <c r="B128" s="13" t="s">
        <v>142</v>
      </c>
      <c r="C128" s="13"/>
      <c r="D128" s="13"/>
      <c r="E128" s="13"/>
      <c r="F128" s="29">
        <f>(F126+F127)*F12</f>
        <v>793.49999999999989</v>
      </c>
      <c r="G128" s="29">
        <f>(G126+G127)*G12</f>
        <v>793.49999999999989</v>
      </c>
    </row>
    <row r="129" spans="2:8" ht="6" customHeight="1" x14ac:dyDescent="0.25">
      <c r="H129" s="26"/>
    </row>
    <row r="130" spans="2:8" x14ac:dyDescent="0.25">
      <c r="B130" s="34" t="s">
        <v>49</v>
      </c>
      <c r="C130" s="34"/>
      <c r="D130" s="34"/>
      <c r="E130" s="34"/>
      <c r="F130" s="57">
        <v>3.99</v>
      </c>
      <c r="G130" s="57">
        <v>3.99</v>
      </c>
    </row>
    <row r="131" spans="2:8" x14ac:dyDescent="0.25">
      <c r="B131" s="13" t="s">
        <v>93</v>
      </c>
      <c r="C131" s="13"/>
      <c r="D131" s="13"/>
      <c r="E131" s="13"/>
      <c r="F131" s="40">
        <f>+F130*F12</f>
        <v>5985</v>
      </c>
      <c r="G131" s="40">
        <f>+G130*G12</f>
        <v>5985</v>
      </c>
    </row>
    <row r="132" spans="2:8" x14ac:dyDescent="0.25">
      <c r="F132" s="4"/>
    </row>
  </sheetData>
  <sheetProtection sheet="1" objects="1" scenarios="1" formatCells="0" formatColumns="0" formatRows="0"/>
  <mergeCells count="5">
    <mergeCell ref="F3:G3"/>
    <mergeCell ref="B109:G109"/>
    <mergeCell ref="B125:G125"/>
    <mergeCell ref="B21:F21"/>
    <mergeCell ref="B68:F68"/>
  </mergeCells>
  <phoneticPr fontId="4" type="noConversion"/>
  <pageMargins left="0.75" right="0.75" top="0.68" bottom="0.77" header="0.5" footer="0.5"/>
  <pageSetup scale="87" orientation="portrait" horizontalDpi="300" verticalDpi="300" r:id="rId1"/>
  <headerFooter alignWithMargins="0"/>
  <rowBreaks count="1" manualBreakCount="1">
    <brk id="66"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I38"/>
  <sheetViews>
    <sheetView showGridLines="0" zoomScaleNormal="100" workbookViewId="0">
      <selection activeCell="B39" sqref="B39"/>
    </sheetView>
  </sheetViews>
  <sheetFormatPr defaultRowHeight="13.2" x14ac:dyDescent="0.25"/>
  <cols>
    <col min="1" max="1" width="5.33203125" customWidth="1"/>
    <col min="2" max="2" width="37.88671875" customWidth="1"/>
    <col min="3" max="3" width="14.44140625" customWidth="1"/>
    <col min="4" max="4" width="12.33203125" customWidth="1"/>
    <col min="5" max="5" width="2.88671875" customWidth="1"/>
    <col min="6" max="6" width="36.44140625" customWidth="1"/>
    <col min="7" max="7" width="15.44140625" customWidth="1"/>
    <col min="8" max="8" width="12" customWidth="1"/>
    <col min="9" max="9" width="7" customWidth="1"/>
  </cols>
  <sheetData>
    <row r="1" spans="1:9" ht="17.399999999999999" x14ac:dyDescent="0.3">
      <c r="B1" s="8" t="s">
        <v>69</v>
      </c>
    </row>
    <row r="2" spans="1:9" ht="30" customHeight="1" x14ac:dyDescent="0.3">
      <c r="B2" s="8"/>
    </row>
    <row r="3" spans="1:9" x14ac:dyDescent="0.25">
      <c r="B3" s="42" t="s">
        <v>70</v>
      </c>
      <c r="C3" s="69">
        <f>+'Biodiesel Production'!F11</f>
        <v>80</v>
      </c>
      <c r="D3" s="69">
        <f>+C3</f>
        <v>80</v>
      </c>
      <c r="G3" s="44"/>
      <c r="H3" s="44"/>
    </row>
    <row r="4" spans="1:9" x14ac:dyDescent="0.25">
      <c r="B4" s="42" t="s">
        <v>130</v>
      </c>
      <c r="C4" s="69">
        <f>+'Biodiesel Production'!F12</f>
        <v>1500</v>
      </c>
      <c r="D4" s="69">
        <f>+'Biodiesel Production'!G12</f>
        <v>1500</v>
      </c>
      <c r="G4" s="44"/>
      <c r="H4" s="44"/>
    </row>
    <row r="6" spans="1:9" ht="13.8" x14ac:dyDescent="0.25">
      <c r="A6" s="68" t="s">
        <v>48</v>
      </c>
      <c r="B6" s="98" t="s">
        <v>117</v>
      </c>
      <c r="C6" s="96"/>
      <c r="D6" s="97"/>
      <c r="F6" s="98" t="s">
        <v>116</v>
      </c>
      <c r="G6" s="96"/>
      <c r="H6" s="97"/>
      <c r="I6" s="68" t="s">
        <v>48</v>
      </c>
    </row>
    <row r="7" spans="1:9" x14ac:dyDescent="0.25">
      <c r="C7" s="2"/>
      <c r="D7" s="2"/>
      <c r="G7" s="2"/>
      <c r="H7" s="2"/>
    </row>
    <row r="8" spans="1:9" x14ac:dyDescent="0.25">
      <c r="B8" s="1" t="s">
        <v>37</v>
      </c>
      <c r="C8" s="17" t="s">
        <v>139</v>
      </c>
      <c r="D8" s="17" t="s">
        <v>140</v>
      </c>
      <c r="F8" s="1" t="s">
        <v>42</v>
      </c>
      <c r="G8" s="17" t="s">
        <v>139</v>
      </c>
      <c r="H8" s="17" t="s">
        <v>140</v>
      </c>
    </row>
    <row r="9" spans="1:9" x14ac:dyDescent="0.25">
      <c r="B9" s="7" t="s">
        <v>94</v>
      </c>
      <c r="C9" s="69">
        <f>+'Biodiesel Production'!F123</f>
        <v>0</v>
      </c>
      <c r="D9" s="69">
        <f>+'Biodiesel Production'!G123</f>
        <v>0</v>
      </c>
      <c r="F9" s="7" t="s">
        <v>94</v>
      </c>
      <c r="G9" s="69">
        <f>+IncomeExp_CashFlow!C9</f>
        <v>0</v>
      </c>
      <c r="H9" s="69">
        <f>+IncomeExp_CashFlow!D9</f>
        <v>0</v>
      </c>
    </row>
    <row r="10" spans="1:9" x14ac:dyDescent="0.25">
      <c r="B10" s="7" t="s">
        <v>35</v>
      </c>
      <c r="C10" s="69">
        <f>+'Biodiesel Production'!F120</f>
        <v>2150</v>
      </c>
      <c r="D10" s="69">
        <f>+'Biodiesel Production'!G120</f>
        <v>150</v>
      </c>
      <c r="F10" s="7" t="s">
        <v>35</v>
      </c>
      <c r="G10" s="69">
        <f>+IncomeExp_CashFlow!C10</f>
        <v>2150</v>
      </c>
      <c r="H10" s="69">
        <f>+IncomeExp_CashFlow!D10</f>
        <v>150</v>
      </c>
    </row>
    <row r="11" spans="1:9" x14ac:dyDescent="0.25">
      <c r="B11" s="50" t="s">
        <v>125</v>
      </c>
      <c r="C11" s="69">
        <f>+'Biodiesel Production'!F131</f>
        <v>5985</v>
      </c>
      <c r="D11" s="69">
        <f>+'Biodiesel Production'!G131</f>
        <v>5985</v>
      </c>
      <c r="F11" s="50" t="s">
        <v>125</v>
      </c>
      <c r="G11" s="69">
        <f>+IncomeExp_CashFlow!C11</f>
        <v>5985</v>
      </c>
      <c r="H11" s="69">
        <f>+IncomeExp_CashFlow!D11</f>
        <v>5985</v>
      </c>
    </row>
    <row r="12" spans="1:9" x14ac:dyDescent="0.25">
      <c r="B12" s="9" t="s">
        <v>39</v>
      </c>
      <c r="C12" s="70">
        <f>SUM(C9:C11)</f>
        <v>8135</v>
      </c>
      <c r="D12" s="70">
        <f>SUM(D9:D11)</f>
        <v>6135</v>
      </c>
      <c r="F12" s="9" t="s">
        <v>43</v>
      </c>
      <c r="G12" s="70">
        <f>SUM(G9:G11)</f>
        <v>8135</v>
      </c>
      <c r="H12" s="70">
        <f>SUM(H9:H11)</f>
        <v>6135</v>
      </c>
    </row>
    <row r="13" spans="1:9" x14ac:dyDescent="0.25">
      <c r="B13" s="9" t="s">
        <v>126</v>
      </c>
      <c r="C13" s="75">
        <f>+C12/C4</f>
        <v>5.4233333333333329</v>
      </c>
      <c r="D13" s="75">
        <f>+D12/D4</f>
        <v>4.09</v>
      </c>
      <c r="F13" s="9" t="s">
        <v>126</v>
      </c>
      <c r="G13" s="75">
        <f>+G12/C4</f>
        <v>5.4233333333333329</v>
      </c>
      <c r="H13" s="75">
        <f>+H12/D4</f>
        <v>4.09</v>
      </c>
    </row>
    <row r="14" spans="1:9" x14ac:dyDescent="0.25">
      <c r="B14" s="1"/>
      <c r="C14" s="49"/>
      <c r="D14" s="81"/>
      <c r="F14" s="1"/>
      <c r="G14" s="49"/>
      <c r="H14" s="49"/>
    </row>
    <row r="15" spans="1:9" x14ac:dyDescent="0.25">
      <c r="B15" s="1" t="s">
        <v>36</v>
      </c>
      <c r="C15" s="49"/>
      <c r="D15" s="49"/>
      <c r="F15" s="1" t="s">
        <v>41</v>
      </c>
      <c r="G15" s="49"/>
      <c r="H15" s="49"/>
    </row>
    <row r="16" spans="1:9" x14ac:dyDescent="0.25">
      <c r="B16" s="43" t="s">
        <v>38</v>
      </c>
      <c r="C16" s="81"/>
      <c r="D16" s="81"/>
      <c r="F16" s="43" t="s">
        <v>38</v>
      </c>
      <c r="G16" s="81"/>
      <c r="H16" s="81"/>
    </row>
    <row r="17" spans="1:9" x14ac:dyDescent="0.25">
      <c r="B17" s="10" t="s">
        <v>66</v>
      </c>
      <c r="C17" s="69">
        <f>'Biodiesel Production'!F58</f>
        <v>1122.0437483952624</v>
      </c>
      <c r="D17" s="69">
        <f>+'Biodiesel Production'!G58</f>
        <v>1122.0437483952624</v>
      </c>
      <c r="F17" s="10" t="s">
        <v>66</v>
      </c>
      <c r="G17" s="71"/>
      <c r="H17" s="82"/>
    </row>
    <row r="18" spans="1:9" x14ac:dyDescent="0.25">
      <c r="B18" s="10" t="s">
        <v>67</v>
      </c>
      <c r="C18" s="69">
        <f>'Biodiesel Production'!F59</f>
        <v>310</v>
      </c>
      <c r="D18" s="69">
        <f>+'Biodiesel Production'!G59</f>
        <v>310</v>
      </c>
      <c r="F18" s="10" t="s">
        <v>67</v>
      </c>
      <c r="G18" s="72">
        <f>+C18</f>
        <v>310</v>
      </c>
      <c r="H18" s="72">
        <f>+D18</f>
        <v>310</v>
      </c>
    </row>
    <row r="19" spans="1:9" x14ac:dyDescent="0.25">
      <c r="B19" s="10" t="s">
        <v>132</v>
      </c>
      <c r="C19" s="69">
        <f>'Biodiesel Production'!$F$107-'Biodiesel Production'!$F$94-'Biodiesel Production'!F71</f>
        <v>1589.3968750000004</v>
      </c>
      <c r="D19" s="69">
        <f>'Biodiesel Production'!$G$107-'Biodiesel Production'!$G$94-'Biodiesel Production'!G71</f>
        <v>1689.3968750000004</v>
      </c>
      <c r="F19" s="10" t="s">
        <v>132</v>
      </c>
      <c r="G19" s="69">
        <f>'Biodiesel Production'!$F$107-'Biodiesel Production'!$F$94-'Biodiesel Production'!F71</f>
        <v>1589.3968750000004</v>
      </c>
      <c r="H19" s="69">
        <f>'Biodiesel Production'!$F$107-'Biodiesel Production'!$F$94-'Biodiesel Production'!G71</f>
        <v>1589.3968750000004</v>
      </c>
    </row>
    <row r="20" spans="1:9" x14ac:dyDescent="0.25">
      <c r="B20" s="10" t="s">
        <v>131</v>
      </c>
      <c r="C20" s="69">
        <f>+'Biodiesel Production'!F71</f>
        <v>5250</v>
      </c>
      <c r="D20" s="69">
        <f>+'Biodiesel Production'!G71</f>
        <v>5250</v>
      </c>
      <c r="F20" s="10" t="s">
        <v>131</v>
      </c>
      <c r="G20" s="69">
        <f>+'Biodiesel Production'!F71</f>
        <v>5250</v>
      </c>
      <c r="H20" s="69">
        <f>+'Biodiesel Production'!G71</f>
        <v>5250</v>
      </c>
    </row>
    <row r="21" spans="1:9" x14ac:dyDescent="0.25">
      <c r="B21" s="10" t="s">
        <v>85</v>
      </c>
      <c r="C21" s="69">
        <f>'Biodiesel Production'!$F$94*'Biodiesel Production'!$F$92</f>
        <v>450</v>
      </c>
      <c r="D21" s="69">
        <f>+'Biodiesel Production'!G94*'Biodiesel Production'!G92</f>
        <v>450</v>
      </c>
      <c r="F21" s="10" t="s">
        <v>85</v>
      </c>
      <c r="G21" s="69">
        <f>'Biodiesel Production'!$F$94</f>
        <v>450</v>
      </c>
      <c r="H21" s="69">
        <f>'Biodiesel Production'!$F$94</f>
        <v>450</v>
      </c>
      <c r="I21" s="68" t="s">
        <v>48</v>
      </c>
    </row>
    <row r="22" spans="1:9" x14ac:dyDescent="0.25">
      <c r="B22" s="10" t="s">
        <v>124</v>
      </c>
      <c r="C22" s="69">
        <f>+'Biodiesel Production'!F128</f>
        <v>793.49999999999989</v>
      </c>
      <c r="D22" s="69">
        <f>+'Biodiesel Production'!G128</f>
        <v>793.49999999999989</v>
      </c>
      <c r="F22" s="10" t="s">
        <v>124</v>
      </c>
      <c r="G22" s="69">
        <f>+C22</f>
        <v>793.49999999999989</v>
      </c>
      <c r="H22" s="69">
        <f>+D22</f>
        <v>793.49999999999989</v>
      </c>
    </row>
    <row r="23" spans="1:9" x14ac:dyDescent="0.25">
      <c r="B23" s="53" t="s">
        <v>119</v>
      </c>
      <c r="C23" s="70">
        <f>SUM(C16:C22)</f>
        <v>9514.9406233952632</v>
      </c>
      <c r="D23" s="70">
        <f>SUM(D16:D22)</f>
        <v>9614.9406233952632</v>
      </c>
      <c r="F23" s="54" t="s">
        <v>44</v>
      </c>
      <c r="G23" s="70">
        <f>SUM(G16:G22)</f>
        <v>8392.8968750000004</v>
      </c>
      <c r="H23" s="70">
        <f>SUM(H16:H22)</f>
        <v>8392.8968750000004</v>
      </c>
    </row>
    <row r="24" spans="1:9" x14ac:dyDescent="0.25">
      <c r="C24" s="18"/>
      <c r="D24" s="18"/>
      <c r="G24" s="18"/>
      <c r="H24" s="18"/>
    </row>
    <row r="25" spans="1:9" x14ac:dyDescent="0.25">
      <c r="B25" s="7" t="s">
        <v>118</v>
      </c>
      <c r="C25" s="20"/>
      <c r="D25" s="20"/>
      <c r="F25" s="50" t="s">
        <v>111</v>
      </c>
      <c r="G25" s="69">
        <f>'Biodiesel Production'!F62</f>
        <v>885.71428571428567</v>
      </c>
      <c r="H25" s="69">
        <f>'Biodiesel Production'!G62</f>
        <v>885.71428571428567</v>
      </c>
    </row>
    <row r="26" spans="1:9" x14ac:dyDescent="0.25">
      <c r="B26" s="9" t="s">
        <v>68</v>
      </c>
      <c r="C26" s="70">
        <f>SUM(C16:C22)</f>
        <v>9514.9406233952632</v>
      </c>
      <c r="D26" s="70">
        <f>SUM(D16:D22)</f>
        <v>9614.9406233952632</v>
      </c>
      <c r="F26" s="9" t="s">
        <v>45</v>
      </c>
      <c r="G26" s="70">
        <f>+G23+G25</f>
        <v>9278.6111607142866</v>
      </c>
      <c r="H26" s="70">
        <f>+H23+H25</f>
        <v>9278.6111607142866</v>
      </c>
    </row>
    <row r="27" spans="1:9" x14ac:dyDescent="0.25">
      <c r="A27" s="68" t="s">
        <v>48</v>
      </c>
      <c r="B27" s="9" t="s">
        <v>120</v>
      </c>
      <c r="C27" s="75">
        <f>C26/C4</f>
        <v>6.3432937489301757</v>
      </c>
      <c r="D27" s="75">
        <f>D26/D4</f>
        <v>6.4099604155968422</v>
      </c>
      <c r="F27" s="9" t="s">
        <v>122</v>
      </c>
      <c r="G27" s="75">
        <f>+G26/C4</f>
        <v>6.185740773809524</v>
      </c>
      <c r="H27" s="75">
        <f>+H26/D4</f>
        <v>6.185740773809524</v>
      </c>
    </row>
    <row r="28" spans="1:9" x14ac:dyDescent="0.25">
      <c r="C28" s="18"/>
      <c r="D28" s="18"/>
      <c r="G28" s="18"/>
      <c r="H28" s="18"/>
    </row>
    <row r="29" spans="1:9" x14ac:dyDescent="0.25">
      <c r="C29" s="18"/>
      <c r="D29" s="18"/>
      <c r="G29" s="18"/>
      <c r="H29" s="18"/>
    </row>
    <row r="30" spans="1:9" x14ac:dyDescent="0.25">
      <c r="B30" s="9" t="s">
        <v>40</v>
      </c>
      <c r="C30" s="70">
        <f>+C12-C26</f>
        <v>-1379.9406233952632</v>
      </c>
      <c r="D30" s="70">
        <f>+D12-D26</f>
        <v>-3479.9406233952632</v>
      </c>
      <c r="F30" s="9" t="s">
        <v>96</v>
      </c>
      <c r="G30" s="70">
        <f>G12-G26</f>
        <v>-1143.6111607142866</v>
      </c>
      <c r="H30" s="70">
        <f>H12-H26</f>
        <v>-3143.6111607142866</v>
      </c>
    </row>
    <row r="31" spans="1:9" x14ac:dyDescent="0.25">
      <c r="B31" s="9" t="s">
        <v>121</v>
      </c>
      <c r="C31" s="75">
        <f>C30/C4</f>
        <v>-0.91996041559684216</v>
      </c>
      <c r="D31" s="75">
        <f>D30/D4</f>
        <v>-2.3199604155968423</v>
      </c>
      <c r="F31" s="76" t="s">
        <v>123</v>
      </c>
      <c r="G31" s="77">
        <f>G30/C4</f>
        <v>-0.76240744047619102</v>
      </c>
      <c r="H31" s="77">
        <f>H30/D4</f>
        <v>-2.0957407738095246</v>
      </c>
    </row>
    <row r="33" spans="2:4" x14ac:dyDescent="0.25">
      <c r="B33" t="s">
        <v>95</v>
      </c>
    </row>
    <row r="34" spans="2:4" x14ac:dyDescent="0.25">
      <c r="C34" s="74"/>
      <c r="D34" s="74"/>
    </row>
    <row r="35" spans="2:4" x14ac:dyDescent="0.25">
      <c r="B35" t="s">
        <v>143</v>
      </c>
    </row>
    <row r="37" spans="2:4" x14ac:dyDescent="0.25">
      <c r="B37" s="88" t="s">
        <v>153</v>
      </c>
      <c r="C37" s="18"/>
      <c r="D37" s="18"/>
    </row>
    <row r="38" spans="2:4" x14ac:dyDescent="0.25">
      <c r="B38" s="88" t="s">
        <v>154</v>
      </c>
      <c r="C38" s="18"/>
      <c r="D38" s="18"/>
    </row>
  </sheetData>
  <sheetProtection sheet="1" formatCells="0" formatColumns="0" formatRows="0"/>
  <mergeCells count="2">
    <mergeCell ref="B6:D6"/>
    <mergeCell ref="F6:H6"/>
  </mergeCells>
  <phoneticPr fontId="4" type="noConversion"/>
  <conditionalFormatting sqref="C31:D31 G31:H31">
    <cfRule type="cellIs" dxfId="0" priority="1" stopIfTrue="1" operator="lessThan">
      <formula>0</formula>
    </cfRule>
  </conditionalFormatting>
  <pageMargins left="0.5" right="0.5" top="0.5" bottom="0.5" header="0.5" footer="0.5"/>
  <pageSetup scale="90" orientation="landscape" horizontalDpi="300" verticalDpi="300" r:id="rId1"/>
  <headerFooter alignWithMargins="0"/>
  <rowBreaks count="1" manualBreakCount="1">
    <brk id="30"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Biodiesel Production</vt:lpstr>
      <vt:lpstr>IncomeExp_CashFlow</vt:lpstr>
    </vt:vector>
  </TitlesOfParts>
  <Company>MSU Ag-Econ/Econ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jschumacher</dc:creator>
  <cp:lastModifiedBy>Hayes, Keri</cp:lastModifiedBy>
  <cp:lastPrinted>2011-06-03T15:45:04Z</cp:lastPrinted>
  <dcterms:created xsi:type="dcterms:W3CDTF">2006-12-11T17:38:12Z</dcterms:created>
  <dcterms:modified xsi:type="dcterms:W3CDTF">2015-05-21T19:28:29Z</dcterms:modified>
</cp:coreProperties>
</file>