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12C392\Desktop\"/>
    </mc:Choice>
  </mc:AlternateContent>
  <bookViews>
    <workbookView xWindow="-828" yWindow="372" windowWidth="21840" windowHeight="13152" tabRatio="729"/>
  </bookViews>
  <sheets>
    <sheet name="Introduction" sheetId="4" r:id="rId1"/>
    <sheet name="Oilseed Processing" sheetId="2" r:id="rId2"/>
    <sheet name="Income Exp &amp; Cash Flow " sheetId="3" r:id="rId3"/>
  </sheets>
  <calcPr calcId="152511"/>
</workbook>
</file>

<file path=xl/calcChain.xml><?xml version="1.0" encoding="utf-8"?>
<calcChain xmlns="http://schemas.openxmlformats.org/spreadsheetml/2006/main">
  <c r="H80" i="2" l="1"/>
  <c r="H85" i="2" s="1"/>
  <c r="H84" i="2"/>
  <c r="C17" i="3" s="1"/>
  <c r="I10" i="2"/>
  <c r="I11" i="2"/>
  <c r="H48" i="2"/>
  <c r="H151" i="2" s="1"/>
  <c r="I17" i="2"/>
  <c r="H51" i="2" s="1"/>
  <c r="H58" i="2"/>
  <c r="H65" i="2"/>
  <c r="H119" i="2"/>
  <c r="F10" i="3"/>
  <c r="F25" i="2"/>
  <c r="F32" i="2" s="1"/>
  <c r="H133" i="2" s="1"/>
  <c r="F27" i="2"/>
  <c r="F28" i="2"/>
  <c r="F29" i="2"/>
  <c r="F30" i="2"/>
  <c r="F31" i="2"/>
  <c r="E25" i="2"/>
  <c r="E26" i="2"/>
  <c r="E27" i="2"/>
  <c r="E28" i="2"/>
  <c r="E29" i="2"/>
  <c r="E30" i="2"/>
  <c r="E31" i="2"/>
  <c r="G25" i="2"/>
  <c r="G26" i="2"/>
  <c r="G27" i="2"/>
  <c r="G28" i="2"/>
  <c r="G29" i="2"/>
  <c r="G32" i="2" s="1"/>
  <c r="G30" i="2"/>
  <c r="G31" i="2"/>
  <c r="H49" i="2"/>
  <c r="B26" i="2"/>
  <c r="B27" i="2"/>
  <c r="B28" i="2"/>
  <c r="B29" i="2"/>
  <c r="B30" i="2"/>
  <c r="B31" i="2"/>
  <c r="B25" i="2"/>
  <c r="H92" i="2"/>
  <c r="C3" i="3"/>
  <c r="F3" i="3" s="1"/>
  <c r="H39" i="2"/>
  <c r="H41" i="2"/>
  <c r="H97" i="2" s="1"/>
  <c r="L16" i="2"/>
  <c r="L15" i="2"/>
  <c r="L14" i="2"/>
  <c r="L13" i="2"/>
  <c r="L12" i="2"/>
  <c r="L10" i="2"/>
  <c r="I20" i="2" s="1"/>
  <c r="K12" i="2"/>
  <c r="K10" i="2"/>
  <c r="K13" i="2"/>
  <c r="I19" i="2" s="1"/>
  <c r="K14" i="2"/>
  <c r="K15" i="2"/>
  <c r="K16" i="2"/>
  <c r="K11" i="2"/>
  <c r="L11" i="2"/>
  <c r="H86" i="2"/>
  <c r="F26" i="2"/>
  <c r="H88" i="2"/>
  <c r="F23" i="3" s="1"/>
  <c r="C10" i="3"/>
  <c r="E32" i="2"/>
  <c r="H132" i="2" s="1"/>
  <c r="H126" i="2"/>
  <c r="C4" i="3"/>
  <c r="F4" i="3"/>
  <c r="H148" i="2"/>
  <c r="H144" i="2" l="1"/>
  <c r="H143" i="2"/>
  <c r="H125" i="2"/>
  <c r="H129" i="2"/>
  <c r="C18" i="3"/>
  <c r="F18" i="3" s="1"/>
  <c r="F33" i="2"/>
  <c r="H150" i="2"/>
  <c r="H152" i="2" s="1"/>
  <c r="H124" i="2"/>
  <c r="I18" i="2"/>
  <c r="G34" i="2" l="1"/>
  <c r="C15" i="3"/>
  <c r="H98" i="2"/>
  <c r="H106" i="2"/>
  <c r="H112" i="2" s="1"/>
  <c r="H40" i="2"/>
  <c r="H50" i="2" s="1"/>
  <c r="H145" i="2"/>
  <c r="C9" i="3"/>
  <c r="C11" i="3"/>
  <c r="F11" i="3" s="1"/>
  <c r="H153" i="2"/>
  <c r="F19" i="3" l="1"/>
  <c r="C19" i="3"/>
  <c r="C12" i="3"/>
  <c r="H146" i="2"/>
  <c r="F9" i="3"/>
  <c r="F12" i="3" s="1"/>
  <c r="F28" i="3" s="1"/>
  <c r="F29" i="3" s="1"/>
  <c r="C20" i="3"/>
  <c r="C21" i="3" s="1"/>
  <c r="H136" i="2"/>
  <c r="F20" i="3"/>
  <c r="H134" i="2"/>
  <c r="H135" i="2" s="1"/>
  <c r="H137" i="2" s="1"/>
  <c r="H140" i="2" s="1"/>
  <c r="F15" i="3"/>
  <c r="F21" i="3" s="1"/>
  <c r="F24" i="3" s="1"/>
  <c r="F25" i="3" s="1"/>
  <c r="H100" i="2"/>
  <c r="H114" i="2" s="1"/>
  <c r="C24" i="3" l="1"/>
  <c r="C25" i="3" s="1"/>
  <c r="C28" i="3" l="1"/>
  <c r="C29" i="3" s="1"/>
</calcChain>
</file>

<file path=xl/comments1.xml><?xml version="1.0" encoding="utf-8"?>
<comments xmlns="http://schemas.openxmlformats.org/spreadsheetml/2006/main">
  <authors>
    <author>Duane Griffith</author>
    <author>jschumacher</author>
  </authors>
  <commentList>
    <comment ref="M6" authorId="0" shapeId="0">
      <text>
        <r>
          <rPr>
            <sz val="10"/>
            <color indexed="81"/>
            <rFont val="Tahoma"/>
            <family val="2"/>
          </rPr>
          <t xml:space="preserve">Enter the cost of producing a particular crop for that year.  </t>
        </r>
      </text>
    </comment>
    <comment ref="A9" authorId="0" shapeId="0">
      <text>
        <r>
          <rPr>
            <sz val="10"/>
            <color indexed="81"/>
            <rFont val="Tahoma"/>
            <family val="2"/>
          </rPr>
          <t xml:space="preserve">Typical Oil Content for Oilseed Crops
Flax:         35% to 40%
Canola:     35% to 42%
Camelina:  34% to 41%
Safflower: 34% to 39%
Mustard:   25% to 30%
 </t>
        </r>
      </text>
    </comment>
    <comment ref="A12" authorId="0" shapeId="0">
      <text>
        <r>
          <rPr>
            <sz val="10"/>
            <color indexed="81"/>
            <rFont val="Tahoma"/>
            <family val="2"/>
          </rPr>
          <t xml:space="preserve">Flax prices are commonly quoted in per bushel terms.  A bushel of flax weighs approximately 53 lbs.  To convert a price per bushel to a price per pound divide the price by 53.  
 </t>
        </r>
      </text>
    </comment>
    <comment ref="A37" authorId="0" shapeId="0">
      <text>
        <r>
          <rPr>
            <sz val="10"/>
            <color indexed="81"/>
            <rFont val="Tahoma"/>
            <family val="2"/>
          </rPr>
          <t>The crushing capacity of most mechanical oilseed crushers is quoted in tons (US) per day.  In some cases the capacity of press is quoted in pounds per hour.  If this is the case, multiply the pounds per hour by 24 and then divide the answer by 2,000 to get the capacity in terms of tons per day.  In some cases the capacity will listed in metric tonnes per day.  To convert metric tonnes to US tons multiply the capacity in metric tonnes by 1.1023.</t>
        </r>
      </text>
    </comment>
    <comment ref="A41" authorId="0" shapeId="0">
      <text>
        <r>
          <rPr>
            <sz val="10"/>
            <color indexed="81"/>
            <rFont val="Tahoma"/>
            <family val="2"/>
          </rPr>
          <t>This indicates the number of hours it will take to process 1 ton of oilseed feedstock.  As the capacity of the press increases the number of hours required to process a ton of oilseed is reduced.  Potential oilseed processors with limited hours available to operate a press may want to consider a larger capacity processor.</t>
        </r>
      </text>
    </comment>
    <comment ref="A42" authorId="1" shapeId="0">
      <text>
        <r>
          <rPr>
            <sz val="11"/>
            <color indexed="81"/>
            <rFont val="Tahoma"/>
            <family val="2"/>
          </rPr>
          <t>In some cases, two presses are used.  The material is process by both both presses.  This method is used to increase oil recovery.  Enter 1 if a single presses is used and 2 if a double press system is used.</t>
        </r>
        <r>
          <rPr>
            <sz val="8"/>
            <color indexed="81"/>
            <rFont val="Tahoma"/>
          </rPr>
          <t xml:space="preserve">
</t>
        </r>
      </text>
    </comment>
    <comment ref="A43" authorId="0" shapeId="0">
      <text>
        <r>
          <rPr>
            <sz val="10"/>
            <color indexed="81"/>
            <rFont val="Tahoma"/>
            <family val="2"/>
          </rPr>
          <t>Mechanical oilseed presses are not capable of recovering 100% of the oil in an oilseed.  Most presses have the ability to recover between 60% and 80% of the oil in the oilseed.  Adjustments on the press, temperature and seed quality all affect the oil recover rate.</t>
        </r>
      </text>
    </comment>
    <comment ref="A45" authorId="0" shapeId="0">
      <text>
        <r>
          <rPr>
            <sz val="10"/>
            <color indexed="81"/>
            <rFont val="Tahoma"/>
            <family val="2"/>
          </rPr>
          <t>During oilseed processing some material is lost due to moisture loss, screening the material and spillage.  This may account for 2% to 10% of the original material.  Enter the percent of material lost during processing in this cell.</t>
        </r>
      </text>
    </comment>
    <comment ref="A54" authorId="0" shapeId="0">
      <text>
        <r>
          <rPr>
            <sz val="10"/>
            <color indexed="81"/>
            <rFont val="Tahoma"/>
            <family val="2"/>
          </rPr>
          <t>Enter the percentage of the meal produced during processing that was sold for cash.  The remaining amount is assumed to be used as feed in your own operation.</t>
        </r>
      </text>
    </comment>
    <comment ref="A56" authorId="0" shapeId="0">
      <text>
        <r>
          <rPr>
            <sz val="10"/>
            <color indexed="81"/>
            <rFont val="Tahoma"/>
            <family val="2"/>
          </rPr>
          <t>This the average selling price of the oilseed meal produced by processing the oilseed feedstock.  If oilseed meal is used on farm, enter the value that the meal could have been sold for or the price that would have been paid to purchase an equal amount of oilseed meal.</t>
        </r>
      </text>
    </comment>
    <comment ref="A57" authorId="0" shapeId="0">
      <text>
        <r>
          <rPr>
            <sz val="10"/>
            <color indexed="81"/>
            <rFont val="Tahoma"/>
            <family val="2"/>
          </rPr>
          <t>Transportation costs refer to the cost to deliver the oilseed meal to the buyer of the meal.  These costs include fuel costs, depreciation of the delivery truck and the labor cost of the truck driver. If the meal is used on farm or if the buyer takes delivery of the meal at the site of your oilseed processor then transportation costs are zero.</t>
        </r>
      </text>
    </comment>
    <comment ref="A61" authorId="0" shapeId="0">
      <text>
        <r>
          <rPr>
            <sz val="10"/>
            <color indexed="81"/>
            <rFont val="Tahoma"/>
            <family val="2"/>
          </rPr>
          <t>Enter the percentage of the oil produced during processing that was sold for cash.  The remaining amount is assumed to be used on farm.</t>
        </r>
      </text>
    </comment>
    <comment ref="A63" authorId="0" shapeId="0">
      <text>
        <r>
          <rPr>
            <sz val="10"/>
            <color indexed="81"/>
            <rFont val="Tahoma"/>
            <family val="2"/>
          </rPr>
          <t>This the average selling price of the oilseed oil produced by processing the oilseed feedstock.  If oil is used on farm, enter the value that the oil could have been sold for or the price that would have been paid to purchase an equal amount of oilseed oil.</t>
        </r>
      </text>
    </comment>
    <comment ref="A64" authorId="0" shapeId="0">
      <text>
        <r>
          <rPr>
            <sz val="10"/>
            <color indexed="81"/>
            <rFont val="Tahoma"/>
            <family val="2"/>
          </rPr>
          <t>Transportation costs refer to the cost to deliver the oilseed oil to the buyer of the oil.  These costs include fuel costs, depreciation of the delivery truck and the labor cost of the truck driver. If the oil is used on farm or if the buyer takes delivery of the oil at the site of your oilseed processor then transportation costs are zero.</t>
        </r>
      </text>
    </comment>
    <comment ref="A95" authorId="0" shapeId="0">
      <text>
        <r>
          <rPr>
            <sz val="10"/>
            <color indexed="81"/>
            <rFont val="Tahoma"/>
            <family val="2"/>
          </rPr>
          <t xml:space="preserve">
Enter the total hourly cost of the labor required to operate the equipment.  If help is hired to operate the equipment then include the total amount paid to the worker and all associated payroll taxes paid.  If you operate the press yourself then enter the value of your time.  The value of your time can be estimated by several methods, here are a couple of examples: 
1) can be based on other work opportunities available (such as off farm work)
2) the cost of paying someone to complete work that you would have done if you had not been operating the equipment (for example: if you hire someone to swath a field that you would have swathed yourself if you had not been operating the equipment then the cost of your time is the cost you paid per hour to have the field swathed)
</t>
        </r>
      </text>
    </comment>
    <comment ref="A104" authorId="0" shapeId="0">
      <text>
        <r>
          <rPr>
            <sz val="10"/>
            <color indexed="81"/>
            <rFont val="Tahoma"/>
            <family val="2"/>
          </rPr>
          <t>Electric Motors have an efficiency rating, which is typically between 70% and 90%.  If you do not know the efficiency rating, leave this cell blank and the spreadsheet will estimate it for you.</t>
        </r>
      </text>
    </comment>
    <comment ref="A105" authorId="0" shapeId="0">
      <text>
        <r>
          <rPr>
            <sz val="10"/>
            <color indexed="81"/>
            <rFont val="Tahoma"/>
            <family val="2"/>
          </rPr>
          <t>If you are unsure of the cost per kilowatt hour (KWH), you may want to use the Montana average price of $0.0735. (This average price was for 2009, based on Energy Information Association data.)  
Note: This spreadsheet is not currently designed to estimate costs of operating a diesel powered press.</t>
        </r>
      </text>
    </comment>
    <comment ref="A108" authorId="0" shapeId="0">
      <text>
        <r>
          <rPr>
            <sz val="10"/>
            <color indexed="81"/>
            <rFont val="Tahoma"/>
            <family val="2"/>
          </rPr>
          <t xml:space="preserve">Enter any </t>
        </r>
        <r>
          <rPr>
            <b/>
            <u/>
            <sz val="10"/>
            <color indexed="81"/>
            <rFont val="Tahoma"/>
            <family val="2"/>
          </rPr>
          <t>annual</t>
        </r>
        <r>
          <rPr>
            <sz val="10"/>
            <color indexed="81"/>
            <rFont val="Tahoma"/>
            <family val="2"/>
          </rPr>
          <t xml:space="preserve"> repair costs for the equipment.  Do not include any costs already entered above.  The manufacturer of the press may be able to provide estimates of annual maintenance costs.</t>
        </r>
      </text>
    </comment>
  </commentList>
</comments>
</file>

<file path=xl/comments2.xml><?xml version="1.0" encoding="utf-8"?>
<comments xmlns="http://schemas.openxmlformats.org/spreadsheetml/2006/main">
  <authors>
    <author>Duane Griffith</author>
  </authors>
  <commentList>
    <comment ref="A6" authorId="0" shapeId="0">
      <text>
        <r>
          <rPr>
            <sz val="12"/>
            <color indexed="81"/>
            <rFont val="Times New Roman"/>
            <family val="1"/>
          </rPr>
          <t>This analysis uses a Financial Approach, including only cash inflows and outflows.  Some cash outflows may not be expenses, like principal payments on capital assets.  Some expenses may not be cash outflows, like depreciation on capital assets.</t>
        </r>
      </text>
    </comment>
    <comment ref="G6" authorId="0" shapeId="0">
      <text>
        <r>
          <rPr>
            <sz val="12"/>
            <color indexed="81"/>
            <rFont val="Times New Roman"/>
            <family val="1"/>
          </rPr>
          <t xml:space="preserve">This analysis uses an Economic approach, which includes the opportunity costs of resources used as well as some of the cash inflows and outflows.  </t>
        </r>
      </text>
    </comment>
    <comment ref="A20" authorId="0" shapeId="0">
      <text>
        <r>
          <rPr>
            <sz val="12"/>
            <color indexed="81"/>
            <rFont val="Times New Roman"/>
            <family val="1"/>
          </rPr>
          <t>Labor costs include here are only those paid in cash to hired labor or a paid family member.  The opportunity costs of unpaid labor is included in the Income/Expense Analysis to the right.</t>
        </r>
      </text>
    </comment>
    <comment ref="G20" authorId="0" shapeId="0">
      <text>
        <r>
          <rPr>
            <sz val="12"/>
            <color indexed="81"/>
            <rFont val="Times New Roman"/>
            <family val="1"/>
          </rPr>
          <t>The actual cash value and/or the opportunity costs of labor is included in the Income/Expense Analysis.  This analysis may shows labor costs even when the Cash Flow Analysis shows none.  This will be the case if labor is supplied by unpaid family labor.</t>
        </r>
      </text>
    </comment>
    <comment ref="A25" authorId="0" shapeId="0">
      <text>
        <r>
          <rPr>
            <sz val="12"/>
            <color indexed="81"/>
            <rFont val="Times New Roman"/>
            <family val="1"/>
          </rPr>
          <t xml:space="preserve">Since this sheet includes adjustments to information that is shown on the Oilseed Crushing and Biodiesel Production Tabs, the per gallon costs may not be the same as those calculated on the other sheets. 
</t>
        </r>
      </text>
    </comment>
  </commentList>
</comments>
</file>

<file path=xl/sharedStrings.xml><?xml version="1.0" encoding="utf-8"?>
<sst xmlns="http://schemas.openxmlformats.org/spreadsheetml/2006/main" count="235" uniqueCount="190">
  <si>
    <t>Oil</t>
  </si>
  <si>
    <t>Interest Rate on Capital Investment</t>
  </si>
  <si>
    <t xml:space="preserve">Valves and plumbing </t>
  </si>
  <si>
    <t>Length of Loan (years)</t>
  </si>
  <si>
    <t>Operating Costs</t>
  </si>
  <si>
    <t>Feed Stock Input</t>
  </si>
  <si>
    <t>Canola</t>
  </si>
  <si>
    <t>Camelina</t>
  </si>
  <si>
    <t>Safflower</t>
  </si>
  <si>
    <t>Mustard</t>
  </si>
  <si>
    <t>Seed Storage Bin</t>
  </si>
  <si>
    <t>Power source for press</t>
  </si>
  <si>
    <t>Oil Storage Tank(s)</t>
  </si>
  <si>
    <t>Meal Storage Bin(s)</t>
  </si>
  <si>
    <t>Oil Filtration Equipment</t>
  </si>
  <si>
    <t>Meal Revenue</t>
  </si>
  <si>
    <t>Production Summary</t>
  </si>
  <si>
    <t>lbs.</t>
  </si>
  <si>
    <t>Unit</t>
  </si>
  <si>
    <t>Oil %</t>
  </si>
  <si>
    <t>Ownership Costs</t>
  </si>
  <si>
    <t>Cash Outflows</t>
  </si>
  <si>
    <t>Cash Inflows</t>
  </si>
  <si>
    <t xml:space="preserve"> Oilseed Processing</t>
  </si>
  <si>
    <t>Total Inflows</t>
  </si>
  <si>
    <t>Net Cash Flow</t>
  </si>
  <si>
    <t>Expenses</t>
  </si>
  <si>
    <t>Income</t>
  </si>
  <si>
    <t>Total Income</t>
  </si>
  <si>
    <t>Total Operating Expenses</t>
  </si>
  <si>
    <t>Total Expenses</t>
  </si>
  <si>
    <t>Help</t>
  </si>
  <si>
    <t>Other</t>
  </si>
  <si>
    <t>Oil Production (gallons recovered)</t>
  </si>
  <si>
    <t>Quantity Oil</t>
  </si>
  <si>
    <t>Seed Crop</t>
  </si>
  <si>
    <t>Potential</t>
  </si>
  <si>
    <t>Meal</t>
  </si>
  <si>
    <t>(Gallons)</t>
  </si>
  <si>
    <t>(Tons)</t>
  </si>
  <si>
    <t>Net Cash Revenue (or Economic Value)</t>
  </si>
  <si>
    <t>Annual Principal Payment</t>
  </si>
  <si>
    <t>Annual Interest  Payment</t>
  </si>
  <si>
    <t xml:space="preserve">   Meal Cash Sales</t>
  </si>
  <si>
    <t>Purchased</t>
  </si>
  <si>
    <t>(P or R)</t>
  </si>
  <si>
    <t>R</t>
  </si>
  <si>
    <t>P</t>
  </si>
  <si>
    <t>Total Annual Loan Payment (P &amp; I)</t>
  </si>
  <si>
    <t>Building/Housing</t>
  </si>
  <si>
    <t xml:space="preserve">Facilities hook up costs, electric, water, etc. </t>
  </si>
  <si>
    <t>Other #2</t>
  </si>
  <si>
    <t>Other #3</t>
  </si>
  <si>
    <t>Assumptions about this analysis:</t>
  </si>
  <si>
    <t xml:space="preserve">Cost of </t>
  </si>
  <si>
    <t>Production for</t>
  </si>
  <si>
    <t>Raised Crops</t>
  </si>
  <si>
    <t>Total Annual Taxes on Equipment/Capital Assets</t>
  </si>
  <si>
    <t>Added Annual Insurance on Equipment/Farm Coverage</t>
  </si>
  <si>
    <t>Annual Feedstock Costs</t>
  </si>
  <si>
    <t>Moisture loss in Meal during processing</t>
  </si>
  <si>
    <t>Oilseed Crushing Worksheet</t>
  </si>
  <si>
    <t>Total Annual Operating Costs for Crushing</t>
  </si>
  <si>
    <t>Labor Costs per ton of feedstock crushed</t>
  </si>
  <si>
    <t>Other Operating Costs</t>
  </si>
  <si>
    <t>Capital Equipment Costs (Fixed costs)</t>
  </si>
  <si>
    <t>Crushing Capacity (tons per day in a 24 hour day)</t>
  </si>
  <si>
    <t>Hours worked per day crushing</t>
  </si>
  <si>
    <t>Tons crushed per day based on hours worked</t>
  </si>
  <si>
    <t>Market Value of Feedstock used (Raised +  Purchased)</t>
  </si>
  <si>
    <r>
      <t>Price</t>
    </r>
    <r>
      <rPr>
        <sz val="10"/>
        <color indexed="10"/>
        <rFont val="Arial"/>
        <family val="2"/>
      </rPr>
      <t xml:space="preserve"> (Market Value)</t>
    </r>
    <r>
      <rPr>
        <sz val="10"/>
        <rFont val="Arial"/>
      </rPr>
      <t xml:space="preserve"> per ton of meal </t>
    </r>
  </si>
  <si>
    <t>Total Tons Meal Produced</t>
  </si>
  <si>
    <t>$/Kwh</t>
  </si>
  <si>
    <t>Tons of meal produced</t>
  </si>
  <si>
    <t>Gallons of oil produced</t>
  </si>
  <si>
    <t>Production</t>
  </si>
  <si>
    <t xml:space="preserve">Total Annual Costs </t>
  </si>
  <si>
    <t xml:space="preserve">        Ownership + Operating Cost</t>
  </si>
  <si>
    <t>Revenue/Value</t>
  </si>
  <si>
    <r>
      <t>Fill in all information in</t>
    </r>
    <r>
      <rPr>
        <b/>
        <sz val="10"/>
        <rFont val="Arial"/>
        <family val="2"/>
      </rPr>
      <t xml:space="preserve"> </t>
    </r>
    <r>
      <rPr>
        <b/>
        <sz val="10"/>
        <color indexed="12"/>
        <rFont val="Arial"/>
        <family val="2"/>
      </rPr>
      <t>blue text</t>
    </r>
    <r>
      <rPr>
        <b/>
        <sz val="10"/>
        <rFont val="Arial"/>
        <family val="2"/>
      </rPr>
      <t xml:space="preserve"> </t>
    </r>
    <r>
      <rPr>
        <sz val="10"/>
        <rFont val="Arial"/>
      </rPr>
      <t>that applies to this analysis</t>
    </r>
  </si>
  <si>
    <t>Equipment Capacity and Hours Specifications</t>
  </si>
  <si>
    <t>Depreciation on Equipment (7 year straight line, zero salvage)</t>
  </si>
  <si>
    <t>Operating Costs (Variable Costs)</t>
  </si>
  <si>
    <t xml:space="preserve">    Loan Principal Payment</t>
  </si>
  <si>
    <t xml:space="preserve">    Loan Interest Payment</t>
  </si>
  <si>
    <t>Total Cash Outflows</t>
  </si>
  <si>
    <t>Cash Flow and Income Expense (Net Income) Comparison</t>
  </si>
  <si>
    <t>Press Size--Tons Per 24 hours</t>
  </si>
  <si>
    <t>Flax</t>
  </si>
  <si>
    <t>Labor hours per ton of oilseed crushed (feedstock)</t>
  </si>
  <si>
    <t xml:space="preserve">  - Oilseed crops used for feedstock can be either purchased or raised.</t>
  </si>
  <si>
    <r>
      <t>Other Operating Costs</t>
    </r>
    <r>
      <rPr>
        <b/>
        <sz val="10"/>
        <rFont val="Arial"/>
        <family val="2"/>
      </rPr>
      <t xml:space="preserve">  </t>
    </r>
  </si>
  <si>
    <t>Other Annual Costs #2</t>
  </si>
  <si>
    <t xml:space="preserve">Other Annual Costs #1 </t>
  </si>
  <si>
    <t>Other Annual Costs #3</t>
  </si>
  <si>
    <t>Electric Motor Size (rated by Horse Power)</t>
  </si>
  <si>
    <t>of Raised</t>
  </si>
  <si>
    <t>Per Unit</t>
  </si>
  <si>
    <t>Price</t>
  </si>
  <si>
    <t>Gallons of Oil</t>
  </si>
  <si>
    <t>Tons of Meal</t>
  </si>
  <si>
    <t>Total Seed Used (lbs)</t>
  </si>
  <si>
    <t>Annual Electricity Cost</t>
  </si>
  <si>
    <t>Motor Efficiency Rating</t>
  </si>
  <si>
    <t xml:space="preserve">Subtotal Other Annual Operating Costs </t>
  </si>
  <si>
    <t xml:space="preserve">    Operating Costs (Excluding Labor)</t>
  </si>
  <si>
    <t xml:space="preserve">    Labor Costs</t>
  </si>
  <si>
    <t>Total Seed Used (tons)</t>
  </si>
  <si>
    <t xml:space="preserve">Total number of days required to crush feedstock </t>
  </si>
  <si>
    <t>Hourly Labor Cost (Wages, Benefits, Payroll Taxes, etc.)</t>
  </si>
  <si>
    <t>Transportation costs per ton of meal</t>
  </si>
  <si>
    <r>
      <t xml:space="preserve">Annual </t>
    </r>
    <r>
      <rPr>
        <sz val="10"/>
        <rFont val="Arial"/>
      </rPr>
      <t>Repair &amp; Maintenance Cost</t>
    </r>
  </si>
  <si>
    <t>*Note: uses 7 year straight line depreciation</t>
  </si>
  <si>
    <t>Net Operating Income</t>
  </si>
  <si>
    <r>
      <t>Subtotal</t>
    </r>
    <r>
      <rPr>
        <sz val="10"/>
        <color indexed="8"/>
        <rFont val="Arial"/>
        <family val="2"/>
      </rPr>
      <t xml:space="preserve"> Annual L</t>
    </r>
    <r>
      <rPr>
        <sz val="10"/>
        <rFont val="Arial"/>
      </rPr>
      <t>abor Costs for Crushing</t>
    </r>
  </si>
  <si>
    <t>Total Meal Revenue/Market Value</t>
  </si>
  <si>
    <t xml:space="preserve">   Meal Value or Sales</t>
  </si>
  <si>
    <t xml:space="preserve"> Seed Cash Costs (purchased + raised)</t>
  </si>
  <si>
    <t xml:space="preserve"> Seed Costs at Market Value</t>
  </si>
  <si>
    <t>Total Seed</t>
  </si>
  <si>
    <t>Market Value</t>
  </si>
  <si>
    <t>Purchase</t>
  </si>
  <si>
    <t>Raised</t>
  </si>
  <si>
    <t>Minus Cost</t>
  </si>
  <si>
    <t>Costs</t>
  </si>
  <si>
    <t>Difference</t>
  </si>
  <si>
    <t>Total Purchased and Raised Cash Costs</t>
  </si>
  <si>
    <t>Total Market Value</t>
  </si>
  <si>
    <t>Depreciation*</t>
  </si>
  <si>
    <t>Used (LBS)</t>
  </si>
  <si>
    <t>Percent of Labor Costs paid in cash</t>
  </si>
  <si>
    <t xml:space="preserve">Income/Expense Analysis -- Uses Economic Analysis </t>
  </si>
  <si>
    <t>Cash Flow Analysis -- Financial Analysis Approach</t>
  </si>
  <si>
    <r>
      <t xml:space="preserve">Depreciation </t>
    </r>
    <r>
      <rPr>
        <sz val="10"/>
        <color indexed="10"/>
        <rFont val="Arial"/>
        <family val="2"/>
      </rPr>
      <t>(not a cash expense)</t>
    </r>
  </si>
  <si>
    <t>Total Operating Cash Outflows</t>
  </si>
  <si>
    <t>Cash Outflow Per Gallon</t>
  </si>
  <si>
    <t>Net Cash Flow Per Gallon</t>
  </si>
  <si>
    <t>Total Expense Per Gallon</t>
  </si>
  <si>
    <t>Net Operating Income Per Gallon</t>
  </si>
  <si>
    <t>Adjustment (Market Value minus Cost)</t>
  </si>
  <si>
    <t>Cost of Raised Feedstock</t>
  </si>
  <si>
    <t>Cost of Purchased Feedstock</t>
  </si>
  <si>
    <t xml:space="preserve">        Net Per Ton of Meal</t>
  </si>
  <si>
    <t>Enter the percent of the meal sold for cash</t>
  </si>
  <si>
    <t xml:space="preserve">Average gallons of oil produced per day </t>
  </si>
  <si>
    <t xml:space="preserve">  Meal Cash Sales</t>
  </si>
  <si>
    <t xml:space="preserve">  Meal On-Farm Use</t>
  </si>
  <si>
    <t>Total Equipment Cost (Depreciation, Interest, Taxes, Insurance)</t>
  </si>
  <si>
    <t>Other Annual Equipment Costs</t>
  </si>
  <si>
    <t>Total Oilseed Processing Equipment Purchase Costs</t>
  </si>
  <si>
    <t>Total tons of oilseed used as feedstock</t>
  </si>
  <si>
    <t xml:space="preserve">   Oil Sales</t>
  </si>
  <si>
    <t>Total Gallons of Oil Produced</t>
  </si>
  <si>
    <t>Feed Stock</t>
  </si>
  <si>
    <t>Summary of Economic Revenue &amp; Costs</t>
  </si>
  <si>
    <t>Number of presses used</t>
  </si>
  <si>
    <t>Oil Recovery Rate of Press #1</t>
  </si>
  <si>
    <t>Oil Recovery Rate of Press #2 (if used)</t>
  </si>
  <si>
    <t>Combined Oil Recovery Rate</t>
  </si>
  <si>
    <t>Seed Cleaner</t>
  </si>
  <si>
    <t>Operating Costs Subtotal</t>
  </si>
  <si>
    <t>Other Revenue (Grants, Tax Credits, etc.)</t>
  </si>
  <si>
    <t>Subtotal Other Annual Other Revenue</t>
  </si>
  <si>
    <t>Annual Revenue from other source #2</t>
  </si>
  <si>
    <t>Revnue from Other Sources</t>
  </si>
  <si>
    <t xml:space="preserve">   Other Revenue</t>
  </si>
  <si>
    <t>Oil Revenue</t>
  </si>
  <si>
    <t>Enter the percent of the oil sold for cash</t>
  </si>
  <si>
    <r>
      <t>Price</t>
    </r>
    <r>
      <rPr>
        <sz val="10"/>
        <color indexed="10"/>
        <rFont val="Arial"/>
        <family val="2"/>
      </rPr>
      <t xml:space="preserve"> (Market Value)</t>
    </r>
    <r>
      <rPr>
        <sz val="10"/>
        <rFont val="Arial"/>
      </rPr>
      <t xml:space="preserve"> per gallon</t>
    </r>
  </si>
  <si>
    <t xml:space="preserve">  Oil Cash Sales</t>
  </si>
  <si>
    <t xml:space="preserve">  Oil On-Farm Use</t>
  </si>
  <si>
    <t>Total Oil Revenue/Market Value</t>
  </si>
  <si>
    <t xml:space="preserve">        Net Per Gallon of oil</t>
  </si>
  <si>
    <t>** This research was supported by Agricultural Marketing Resource Center at Iowa State University Extension</t>
  </si>
  <si>
    <t>Transportation costs per gallon of oil</t>
  </si>
  <si>
    <t>Mechanical Press (for both presses, if two are used)</t>
  </si>
  <si>
    <t>Annual Revenue from other source #1</t>
  </si>
  <si>
    <t>*** The worksheet was developed by Joel Schumacher, Associate Specialist, Montana State University Extension.</t>
  </si>
  <si>
    <t>Contact: jschumacher@montana.edu or 406-994-6637</t>
  </si>
  <si>
    <t>Small Scale Oilseed Processing</t>
  </si>
  <si>
    <t>Developed by:</t>
  </si>
  <si>
    <t>Joel Schumacher</t>
  </si>
  <si>
    <t>Associate Specialist</t>
  </si>
  <si>
    <t>Montana State University Extension</t>
  </si>
  <si>
    <t>jschumacher@montana.edu</t>
  </si>
  <si>
    <t>406-994-6637</t>
  </si>
  <si>
    <t>Purpose:</t>
  </si>
  <si>
    <t>The goal of this tool is to allow potential small scale oilseed processors to forcast the economics small scale oilseed processing.  The first page allows users to input data about input costs (seed, equipment and labor) and market prices for the final products (oil and meal).  The first page is populated with sample data based on other small scale oilseed producers.  Users are encouraged to enter in their own information.  The second page displays the cash flow implications and an income/expense type analysis.</t>
  </si>
  <si>
    <t>Cash Flow and Income/Expense</t>
  </si>
  <si>
    <t>Estimatation Tool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</si>
</sst>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164" formatCode="&quot;$&quot;#,##0.00"/>
    <numFmt numFmtId="165" formatCode="0.0%"/>
    <numFmt numFmtId="166" formatCode="#,##0.0"/>
    <numFmt numFmtId="167" formatCode="#,##0.000"/>
    <numFmt numFmtId="168" formatCode="#,##0.0_);[Red]\(#,##0.0\)"/>
    <numFmt numFmtId="169" formatCode="&quot;$&quot;#,##0"/>
    <numFmt numFmtId="170" formatCode="0.000000%"/>
  </numFmts>
  <fonts count="26" x14ac:knownFonts="1">
    <font>
      <sz val="10"/>
      <name val="Arial"/>
    </font>
    <font>
      <sz val="10"/>
      <name val="Arial"/>
    </font>
    <font>
      <b/>
      <sz val="10"/>
      <name val="Arial"/>
      <family val="2"/>
    </font>
    <font>
      <b/>
      <u/>
      <sz val="10"/>
      <name val="Arial"/>
      <family val="2"/>
    </font>
    <font>
      <sz val="8"/>
      <name val="Arial"/>
    </font>
    <font>
      <sz val="10"/>
      <name val="Arial"/>
      <family val="2"/>
    </font>
    <font>
      <u/>
      <sz val="10"/>
      <name val="Arial"/>
    </font>
    <font>
      <b/>
      <sz val="14"/>
      <name val="Arial"/>
      <family val="2"/>
    </font>
    <font>
      <b/>
      <sz val="11"/>
      <name val="Arial"/>
      <family val="2"/>
    </font>
    <font>
      <sz val="10"/>
      <color indexed="10"/>
      <name val="Arial"/>
      <family val="2"/>
    </font>
    <font>
      <sz val="10"/>
      <color indexed="12"/>
      <name val="Arial"/>
    </font>
    <font>
      <b/>
      <sz val="10"/>
      <color indexed="12"/>
      <name val="Arial"/>
      <family val="2"/>
    </font>
    <font>
      <sz val="10"/>
      <color indexed="10"/>
      <name val="Arial"/>
    </font>
    <font>
      <b/>
      <sz val="10"/>
      <color indexed="16"/>
      <name val="Arial"/>
      <family val="2"/>
    </font>
    <font>
      <sz val="10"/>
      <color indexed="81"/>
      <name val="Tahoma"/>
      <family val="2"/>
    </font>
    <font>
      <b/>
      <i/>
      <sz val="10"/>
      <name val="Arial"/>
      <family val="2"/>
    </font>
    <font>
      <b/>
      <u/>
      <sz val="10"/>
      <color indexed="81"/>
      <name val="Tahoma"/>
      <family val="2"/>
    </font>
    <font>
      <sz val="10"/>
      <color indexed="8"/>
      <name val="Arial"/>
    </font>
    <font>
      <sz val="10"/>
      <color indexed="8"/>
      <name val="Arial"/>
      <family val="2"/>
    </font>
    <font>
      <sz val="12"/>
      <color indexed="81"/>
      <name val="Times New Roman"/>
      <family val="1"/>
    </font>
    <font>
      <b/>
      <sz val="10"/>
      <color indexed="8"/>
      <name val="Arial"/>
      <family val="2"/>
    </font>
    <font>
      <sz val="8"/>
      <color indexed="81"/>
      <name val="Tahoma"/>
    </font>
    <font>
      <sz val="11"/>
      <color indexed="81"/>
      <name val="Tahoma"/>
      <family val="2"/>
    </font>
    <font>
      <sz val="14"/>
      <name val="Arial"/>
      <family val="2"/>
    </font>
    <font>
      <sz val="20"/>
      <name val="Arial"/>
      <family val="2"/>
    </font>
    <font>
      <u/>
      <sz val="10"/>
      <color theme="10"/>
      <name val="Arial"/>
      <family val="2"/>
    </font>
  </fonts>
  <fills count="6">
    <fill>
      <patternFill patternType="none"/>
    </fill>
    <fill>
      <patternFill patternType="gray125"/>
    </fill>
    <fill>
      <patternFill patternType="solid">
        <fgColor indexed="16"/>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5" fillId="0" borderId="0" applyNumberFormat="0" applyFill="0" applyBorder="0" applyAlignment="0" applyProtection="0"/>
    <xf numFmtId="9" fontId="1" fillId="0" borderId="0" applyFont="0" applyFill="0" applyBorder="0" applyAlignment="0" applyProtection="0"/>
  </cellStyleXfs>
  <cellXfs count="162">
    <xf numFmtId="0" fontId="0" fillId="0" borderId="0" xfId="0"/>
    <xf numFmtId="0" fontId="2" fillId="0" borderId="0" xfId="0" applyFont="1"/>
    <xf numFmtId="0" fontId="0" fillId="0" borderId="0" xfId="0" applyAlignment="1">
      <alignment horizontal="center"/>
    </xf>
    <xf numFmtId="0" fontId="0" fillId="0" borderId="1" xfId="0" applyBorder="1"/>
    <xf numFmtId="0" fontId="7" fillId="0" borderId="0" xfId="0" applyFont="1"/>
    <xf numFmtId="0" fontId="2" fillId="0" borderId="1" xfId="0" applyFont="1" applyBorder="1"/>
    <xf numFmtId="0" fontId="5" fillId="0" borderId="1" xfId="0" applyFont="1" applyBorder="1"/>
    <xf numFmtId="0" fontId="0" fillId="0" borderId="0" xfId="0" applyAlignment="1"/>
    <xf numFmtId="40" fontId="0" fillId="0" borderId="0" xfId="0" applyNumberFormat="1" applyAlignment="1">
      <alignment horizontal="center"/>
    </xf>
    <xf numFmtId="40" fontId="0" fillId="0" borderId="0" xfId="0" applyNumberFormat="1"/>
    <xf numFmtId="0" fontId="0" fillId="2" borderId="0" xfId="0" applyFill="1"/>
    <xf numFmtId="6" fontId="0" fillId="0" borderId="0" xfId="0" applyNumberFormat="1"/>
    <xf numFmtId="0" fontId="0" fillId="0" borderId="0" xfId="0" applyAlignment="1">
      <alignment horizontal="left"/>
    </xf>
    <xf numFmtId="0" fontId="15" fillId="3" borderId="1" xfId="0" applyFont="1" applyFill="1" applyBorder="1"/>
    <xf numFmtId="38" fontId="0" fillId="0" borderId="0" xfId="0" applyNumberFormat="1" applyAlignment="1">
      <alignment horizontal="center"/>
    </xf>
    <xf numFmtId="38" fontId="0" fillId="0" borderId="0" xfId="0" applyNumberFormat="1"/>
    <xf numFmtId="0" fontId="17" fillId="0" borderId="1" xfId="0" applyFont="1" applyBorder="1"/>
    <xf numFmtId="0" fontId="2" fillId="0" borderId="2" xfId="0" applyFont="1" applyFill="1" applyBorder="1" applyAlignment="1">
      <alignment horizontal="right"/>
    </xf>
    <xf numFmtId="0" fontId="2" fillId="0" borderId="3" xfId="0" applyFont="1" applyBorder="1" applyAlignment="1">
      <alignment horizontal="right"/>
    </xf>
    <xf numFmtId="9" fontId="11" fillId="0" borderId="1" xfId="0" applyNumberFormat="1" applyFont="1" applyBorder="1" applyAlignment="1" applyProtection="1">
      <alignment horizontal="center"/>
      <protection locked="0"/>
    </xf>
    <xf numFmtId="9" fontId="11" fillId="0" borderId="4" xfId="0" applyNumberFormat="1" applyFont="1" applyFill="1" applyBorder="1" applyAlignment="1" applyProtection="1">
      <alignment horizontal="center"/>
      <protection locked="0"/>
    </xf>
    <xf numFmtId="0" fontId="0" fillId="0" borderId="0" xfId="0" applyProtection="1"/>
    <xf numFmtId="0" fontId="7" fillId="0" borderId="0" xfId="0" applyFont="1" applyProtection="1"/>
    <xf numFmtId="0" fontId="2" fillId="3" borderId="0" xfId="0" applyFont="1" applyFill="1" applyAlignment="1" applyProtection="1">
      <alignment horizontal="center"/>
    </xf>
    <xf numFmtId="0" fontId="0" fillId="0" borderId="5" xfId="0" applyBorder="1" applyAlignment="1" applyProtection="1">
      <alignment horizontal="center"/>
    </xf>
    <xf numFmtId="0" fontId="13" fillId="0" borderId="5" xfId="0" applyFont="1" applyBorder="1" applyAlignment="1" applyProtection="1">
      <alignment horizontal="center"/>
    </xf>
    <xf numFmtId="0" fontId="0" fillId="0" borderId="5" xfId="0" applyFill="1" applyBorder="1" applyAlignment="1" applyProtection="1">
      <alignment horizontal="center"/>
    </xf>
    <xf numFmtId="0" fontId="17" fillId="0" borderId="0" xfId="0" applyFont="1" applyProtection="1"/>
    <xf numFmtId="0" fontId="0" fillId="0" borderId="6" xfId="0" applyBorder="1" applyAlignment="1" applyProtection="1">
      <alignment horizontal="center"/>
    </xf>
    <xf numFmtId="0" fontId="0" fillId="0" borderId="6" xfId="0" applyFill="1" applyBorder="1" applyAlignment="1" applyProtection="1">
      <alignment horizontal="center"/>
    </xf>
    <xf numFmtId="0" fontId="17" fillId="0" borderId="0" xfId="0" applyFont="1" applyAlignment="1" applyProtection="1">
      <alignment horizontal="center"/>
    </xf>
    <xf numFmtId="0" fontId="2" fillId="0" borderId="7" xfId="0" applyFont="1" applyBorder="1" applyAlignment="1" applyProtection="1"/>
    <xf numFmtId="0" fontId="0" fillId="0" borderId="4" xfId="0" applyBorder="1" applyAlignment="1" applyProtection="1">
      <alignment horizontal="center"/>
    </xf>
    <xf numFmtId="164" fontId="0" fillId="0" borderId="4" xfId="0" applyNumberFormat="1" applyBorder="1" applyAlignment="1" applyProtection="1">
      <alignment horizontal="center"/>
    </xf>
    <xf numFmtId="0" fontId="0" fillId="0" borderId="4" xfId="0" applyFill="1" applyBorder="1" applyAlignment="1" applyProtection="1">
      <alignment horizontal="center"/>
    </xf>
    <xf numFmtId="0" fontId="0" fillId="0" borderId="0" xfId="0" applyAlignment="1" applyProtection="1"/>
    <xf numFmtId="0" fontId="17" fillId="0" borderId="0" xfId="0" applyFont="1" applyAlignment="1" applyProtection="1"/>
    <xf numFmtId="0" fontId="17" fillId="0" borderId="7" xfId="0" applyFont="1" applyBorder="1" applyAlignment="1" applyProtection="1">
      <alignment horizontal="center"/>
    </xf>
    <xf numFmtId="0" fontId="0" fillId="0" borderId="0" xfId="0" applyBorder="1" applyProtection="1"/>
    <xf numFmtId="0" fontId="0" fillId="0" borderId="0" xfId="0" applyBorder="1" applyAlignment="1" applyProtection="1">
      <alignment horizontal="center"/>
    </xf>
    <xf numFmtId="3" fontId="0" fillId="0" borderId="8" xfId="0" applyNumberFormat="1" applyBorder="1" applyAlignment="1" applyProtection="1">
      <alignment horizontal="center"/>
    </xf>
    <xf numFmtId="166" fontId="0" fillId="0" borderId="0" xfId="0" applyNumberFormat="1" applyBorder="1" applyAlignment="1" applyProtection="1">
      <alignment horizontal="center"/>
    </xf>
    <xf numFmtId="3" fontId="0" fillId="0" borderId="0" xfId="0" applyNumberFormat="1" applyBorder="1" applyProtection="1"/>
    <xf numFmtId="3" fontId="17" fillId="0" borderId="0" xfId="0" applyNumberFormat="1" applyFont="1" applyBorder="1" applyProtection="1"/>
    <xf numFmtId="169" fontId="17" fillId="0" borderId="0" xfId="0" applyNumberFormat="1" applyFont="1" applyBorder="1" applyAlignment="1" applyProtection="1">
      <alignment horizontal="center"/>
    </xf>
    <xf numFmtId="3" fontId="0" fillId="0" borderId="9" xfId="0" applyNumberFormat="1" applyBorder="1" applyAlignment="1" applyProtection="1">
      <alignment horizontal="center"/>
    </xf>
    <xf numFmtId="0" fontId="0" fillId="0" borderId="7" xfId="0" applyBorder="1" applyAlignment="1" applyProtection="1">
      <alignment horizontal="center"/>
    </xf>
    <xf numFmtId="3" fontId="0" fillId="0" borderId="10" xfId="0" applyNumberFormat="1" applyBorder="1" applyAlignment="1" applyProtection="1">
      <alignment horizontal="center"/>
    </xf>
    <xf numFmtId="166" fontId="0" fillId="0" borderId="11" xfId="0" applyNumberFormat="1" applyBorder="1" applyAlignment="1" applyProtection="1">
      <alignment horizontal="center"/>
    </xf>
    <xf numFmtId="169" fontId="17" fillId="0" borderId="7" xfId="0" applyNumberFormat="1" applyFont="1" applyBorder="1" applyAlignment="1" applyProtection="1">
      <alignment horizontal="center"/>
    </xf>
    <xf numFmtId="0" fontId="12" fillId="0" borderId="0" xfId="0" applyFont="1" applyFill="1" applyBorder="1" applyProtection="1"/>
    <xf numFmtId="0" fontId="12" fillId="0" borderId="0" xfId="0" applyFont="1" applyBorder="1" applyProtection="1"/>
    <xf numFmtId="0" fontId="0" fillId="0" borderId="0" xfId="0" applyAlignment="1" applyProtection="1">
      <alignment horizontal="right"/>
    </xf>
    <xf numFmtId="3" fontId="1" fillId="0" borderId="0" xfId="0" applyNumberFormat="1" applyFont="1" applyBorder="1" applyAlignment="1" applyProtection="1">
      <alignment horizontal="right"/>
    </xf>
    <xf numFmtId="3" fontId="17" fillId="0" borderId="0" xfId="0" applyNumberFormat="1" applyFont="1" applyBorder="1" applyAlignment="1" applyProtection="1">
      <alignment horizontal="right"/>
    </xf>
    <xf numFmtId="3" fontId="0" fillId="0" borderId="0" xfId="0" applyNumberFormat="1" applyBorder="1" applyAlignment="1" applyProtection="1">
      <alignment horizontal="center"/>
    </xf>
    <xf numFmtId="169" fontId="12" fillId="2" borderId="0" xfId="0" applyNumberFormat="1" applyFont="1" applyFill="1" applyBorder="1" applyAlignment="1" applyProtection="1">
      <alignment horizontal="center"/>
    </xf>
    <xf numFmtId="3" fontId="0" fillId="0" borderId="0" xfId="0" applyNumberFormat="1" applyBorder="1" applyAlignment="1" applyProtection="1">
      <alignment horizontal="right"/>
    </xf>
    <xf numFmtId="167" fontId="0" fillId="0" borderId="0" xfId="0" applyNumberFormat="1" applyBorder="1" applyAlignment="1" applyProtection="1">
      <alignment horizontal="center"/>
    </xf>
    <xf numFmtId="8" fontId="12" fillId="0" borderId="0" xfId="0" applyNumberFormat="1" applyFont="1" applyBorder="1" applyProtection="1"/>
    <xf numFmtId="166" fontId="0" fillId="0" borderId="0" xfId="0" applyNumberFormat="1" applyBorder="1" applyAlignment="1" applyProtection="1">
      <alignment horizontal="right"/>
    </xf>
    <xf numFmtId="0" fontId="0" fillId="0" borderId="0" xfId="0" applyFill="1" applyBorder="1" applyProtection="1"/>
    <xf numFmtId="0" fontId="2" fillId="0" borderId="7" xfId="0" applyFont="1" applyBorder="1" applyProtection="1"/>
    <xf numFmtId="8" fontId="6" fillId="0" borderId="0" xfId="0" applyNumberFormat="1" applyFont="1" applyAlignment="1" applyProtection="1">
      <alignment horizontal="center"/>
    </xf>
    <xf numFmtId="3" fontId="3" fillId="0" borderId="0" xfId="0" applyNumberFormat="1" applyFont="1" applyAlignment="1" applyProtection="1">
      <alignment horizontal="left"/>
    </xf>
    <xf numFmtId="0" fontId="5" fillId="0" borderId="0" xfId="0" applyFont="1" applyBorder="1" applyProtection="1"/>
    <xf numFmtId="8" fontId="0" fillId="0" borderId="0" xfId="0" applyNumberFormat="1" applyProtection="1"/>
    <xf numFmtId="168" fontId="5" fillId="0" borderId="0" xfId="0" applyNumberFormat="1" applyFont="1" applyFill="1" applyBorder="1" applyAlignment="1" applyProtection="1">
      <alignment horizontal="center"/>
    </xf>
    <xf numFmtId="38" fontId="5" fillId="0" borderId="0" xfId="0" applyNumberFormat="1" applyFont="1" applyFill="1" applyBorder="1" applyAlignment="1" applyProtection="1">
      <alignment horizontal="center"/>
    </xf>
    <xf numFmtId="168" fontId="0" fillId="0" borderId="0" xfId="0" applyNumberFormat="1" applyBorder="1" applyAlignment="1" applyProtection="1">
      <alignment horizontal="center"/>
    </xf>
    <xf numFmtId="0" fontId="5" fillId="0" borderId="0" xfId="0" applyFont="1" applyFill="1" applyBorder="1" applyProtection="1"/>
    <xf numFmtId="0" fontId="2" fillId="0" borderId="0" xfId="0" applyFont="1" applyFill="1" applyAlignment="1" applyProtection="1">
      <alignment horizontal="center"/>
    </xf>
    <xf numFmtId="166" fontId="0" fillId="0" borderId="0" xfId="0" applyNumberFormat="1" applyBorder="1" applyProtection="1"/>
    <xf numFmtId="0" fontId="5" fillId="0" borderId="0" xfId="0" applyFont="1" applyProtection="1"/>
    <xf numFmtId="0" fontId="2" fillId="0" borderId="0" xfId="0" applyFont="1" applyProtection="1"/>
    <xf numFmtId="0" fontId="2" fillId="0" borderId="0" xfId="0" applyFont="1" applyBorder="1" applyAlignment="1" applyProtection="1">
      <alignment horizontal="right"/>
    </xf>
    <xf numFmtId="0" fontId="10" fillId="0" borderId="0" xfId="0" applyFont="1" applyBorder="1" applyProtection="1"/>
    <xf numFmtId="0" fontId="3" fillId="0" borderId="0" xfId="0" applyFont="1" applyProtection="1"/>
    <xf numFmtId="8" fontId="0" fillId="0" borderId="1" xfId="0" applyNumberFormat="1" applyBorder="1" applyProtection="1"/>
    <xf numFmtId="6" fontId="11" fillId="0" borderId="9" xfId="0" applyNumberFormat="1" applyFont="1" applyFill="1" applyBorder="1" applyProtection="1"/>
    <xf numFmtId="0" fontId="11" fillId="0" borderId="0" xfId="0" applyFont="1" applyBorder="1" applyProtection="1"/>
    <xf numFmtId="0" fontId="0" fillId="0" borderId="0" xfId="0" applyBorder="1" applyAlignment="1" applyProtection="1">
      <alignment horizontal="right"/>
    </xf>
    <xf numFmtId="8" fontId="0" fillId="0" borderId="12" xfId="0" applyNumberFormat="1" applyBorder="1" applyProtection="1"/>
    <xf numFmtId="8" fontId="0" fillId="0" borderId="7" xfId="0" applyNumberFormat="1" applyBorder="1" applyProtection="1"/>
    <xf numFmtId="8" fontId="0" fillId="0" borderId="2" xfId="0" applyNumberFormat="1" applyBorder="1" applyProtection="1"/>
    <xf numFmtId="8" fontId="0" fillId="0" borderId="13" xfId="0" applyNumberFormat="1" applyBorder="1" applyProtection="1"/>
    <xf numFmtId="8" fontId="0" fillId="0" borderId="0" xfId="0" applyNumberFormat="1" applyBorder="1" applyProtection="1"/>
    <xf numFmtId="6" fontId="0" fillId="0" borderId="0" xfId="0" applyNumberFormat="1" applyBorder="1" applyProtection="1"/>
    <xf numFmtId="0" fontId="0" fillId="0" borderId="7" xfId="0" applyFill="1" applyBorder="1" applyProtection="1"/>
    <xf numFmtId="0" fontId="0" fillId="0" borderId="7" xfId="0" applyBorder="1" applyProtection="1"/>
    <xf numFmtId="0" fontId="0" fillId="0" borderId="11" xfId="0" applyBorder="1" applyProtection="1"/>
    <xf numFmtId="6" fontId="11" fillId="0" borderId="0" xfId="0" applyNumberFormat="1" applyFont="1" applyFill="1" applyBorder="1" applyProtection="1"/>
    <xf numFmtId="0" fontId="2" fillId="0" borderId="0" xfId="0" applyFont="1" applyFill="1" applyBorder="1" applyProtection="1"/>
    <xf numFmtId="6" fontId="0" fillId="0" borderId="0" xfId="0" applyNumberFormat="1" applyProtection="1"/>
    <xf numFmtId="6" fontId="5" fillId="0" borderId="0" xfId="0" applyNumberFormat="1" applyFont="1" applyBorder="1" applyAlignment="1" applyProtection="1">
      <alignment horizontal="right"/>
    </xf>
    <xf numFmtId="0" fontId="0" fillId="0" borderId="7" xfId="0" applyBorder="1" applyAlignment="1" applyProtection="1">
      <alignment horizontal="right"/>
    </xf>
    <xf numFmtId="0" fontId="2" fillId="0" borderId="0" xfId="0" applyFont="1" applyBorder="1" applyProtection="1"/>
    <xf numFmtId="0" fontId="0" fillId="0" borderId="1" xfId="0" applyFill="1" applyBorder="1" applyAlignment="1" applyProtection="1">
      <alignment horizontal="center"/>
    </xf>
    <xf numFmtId="0" fontId="9" fillId="0" borderId="0" xfId="0" applyFont="1" applyBorder="1" applyProtection="1"/>
    <xf numFmtId="0" fontId="11" fillId="0" borderId="11" xfId="0" applyFont="1" applyBorder="1" applyProtection="1"/>
    <xf numFmtId="0" fontId="5" fillId="0" borderId="0" xfId="0" applyFont="1" applyBorder="1" applyAlignment="1" applyProtection="1">
      <alignment horizontal="right"/>
    </xf>
    <xf numFmtId="6" fontId="5" fillId="0" borderId="0" xfId="0" applyNumberFormat="1" applyFont="1" applyFill="1" applyBorder="1" applyProtection="1"/>
    <xf numFmtId="0" fontId="5" fillId="0" borderId="7" xfId="0" applyFont="1" applyBorder="1" applyProtection="1"/>
    <xf numFmtId="0" fontId="1" fillId="0" borderId="7" xfId="0" applyFont="1" applyBorder="1" applyProtection="1"/>
    <xf numFmtId="0" fontId="6" fillId="0" borderId="7" xfId="0" applyFont="1" applyBorder="1" applyProtection="1"/>
    <xf numFmtId="6" fontId="5" fillId="0" borderId="0" xfId="0" applyNumberFormat="1" applyFont="1" applyBorder="1" applyProtection="1"/>
    <xf numFmtId="8" fontId="5" fillId="0" borderId="0" xfId="0" applyNumberFormat="1" applyFont="1" applyBorder="1" applyAlignment="1" applyProtection="1">
      <alignment horizontal="right"/>
    </xf>
    <xf numFmtId="0" fontId="1" fillId="0" borderId="0" xfId="0" applyFont="1" applyFill="1" applyBorder="1" applyProtection="1"/>
    <xf numFmtId="0" fontId="6" fillId="0" borderId="0" xfId="0" applyFont="1" applyBorder="1" applyProtection="1"/>
    <xf numFmtId="6" fontId="5" fillId="0" borderId="13" xfId="0" applyNumberFormat="1" applyFont="1" applyBorder="1" applyAlignment="1" applyProtection="1">
      <alignment horizontal="right"/>
    </xf>
    <xf numFmtId="0" fontId="1" fillId="0" borderId="0" xfId="0" applyFont="1" applyBorder="1" applyProtection="1"/>
    <xf numFmtId="0" fontId="11" fillId="0" borderId="0" xfId="0" applyFont="1" applyFill="1" applyBorder="1" applyProtection="1">
      <protection locked="0"/>
    </xf>
    <xf numFmtId="0" fontId="11" fillId="0" borderId="7" xfId="0" applyFont="1" applyFill="1" applyBorder="1" applyProtection="1">
      <protection locked="0"/>
    </xf>
    <xf numFmtId="0" fontId="10" fillId="0" borderId="1" xfId="0" applyFont="1" applyBorder="1" applyAlignment="1" applyProtection="1">
      <alignment horizontal="center"/>
      <protection locked="0"/>
    </xf>
    <xf numFmtId="8" fontId="11" fillId="0" borderId="1" xfId="0" applyNumberFormat="1" applyFont="1" applyFill="1" applyBorder="1" applyAlignment="1" applyProtection="1">
      <alignment horizontal="center"/>
      <protection locked="0"/>
    </xf>
    <xf numFmtId="38" fontId="11" fillId="0" borderId="1" xfId="0" applyNumberFormat="1" applyFont="1" applyFill="1" applyBorder="1" applyAlignment="1" applyProtection="1">
      <alignment horizontal="center"/>
      <protection locked="0"/>
    </xf>
    <xf numFmtId="165" fontId="11" fillId="0" borderId="14" xfId="0" applyNumberFormat="1" applyFont="1" applyFill="1" applyBorder="1" applyAlignment="1" applyProtection="1">
      <alignment horizontal="center"/>
      <protection locked="0"/>
    </xf>
    <xf numFmtId="168" fontId="11" fillId="0" borderId="1" xfId="0" applyNumberFormat="1" applyFont="1" applyFill="1" applyBorder="1" applyAlignment="1" applyProtection="1">
      <alignment horizontal="center"/>
      <protection locked="0"/>
    </xf>
    <xf numFmtId="9" fontId="11" fillId="0" borderId="1" xfId="0" applyNumberFormat="1" applyFont="1" applyFill="1" applyBorder="1" applyAlignment="1" applyProtection="1">
      <alignment horizontal="center"/>
      <protection locked="0"/>
    </xf>
    <xf numFmtId="8" fontId="11" fillId="0" borderId="1" xfId="0" applyNumberFormat="1" applyFont="1" applyFill="1" applyBorder="1" applyProtection="1">
      <protection locked="0"/>
    </xf>
    <xf numFmtId="6" fontId="11" fillId="0" borderId="1" xfId="0" applyNumberFormat="1" applyFont="1" applyFill="1" applyBorder="1" applyProtection="1">
      <protection locked="0"/>
    </xf>
    <xf numFmtId="6" fontId="11" fillId="0" borderId="15" xfId="0" applyNumberFormat="1" applyFont="1" applyFill="1" applyBorder="1" applyProtection="1">
      <protection locked="0"/>
    </xf>
    <xf numFmtId="0" fontId="11" fillId="0" borderId="0" xfId="0" applyFont="1" applyBorder="1" applyProtection="1">
      <protection locked="0"/>
    </xf>
    <xf numFmtId="165" fontId="11" fillId="0" borderId="1" xfId="2" applyNumberFormat="1" applyFont="1" applyFill="1" applyBorder="1" applyProtection="1">
      <protection locked="0"/>
    </xf>
    <xf numFmtId="38" fontId="11" fillId="0" borderId="1" xfId="0" applyNumberFormat="1" applyFont="1" applyFill="1" applyBorder="1" applyProtection="1">
      <protection locked="0"/>
    </xf>
    <xf numFmtId="168" fontId="11" fillId="0" borderId="1" xfId="0" applyNumberFormat="1" applyFont="1" applyFill="1" applyBorder="1" applyProtection="1">
      <protection locked="0"/>
    </xf>
    <xf numFmtId="9" fontId="11" fillId="0" borderId="1" xfId="2" applyFont="1" applyFill="1" applyBorder="1" applyProtection="1">
      <protection locked="0"/>
    </xf>
    <xf numFmtId="0" fontId="10" fillId="0" borderId="1" xfId="0" applyFont="1" applyBorder="1" applyProtection="1">
      <protection locked="0"/>
    </xf>
    <xf numFmtId="0" fontId="0" fillId="0" borderId="0" xfId="0" applyBorder="1" applyProtection="1">
      <protection locked="0"/>
    </xf>
    <xf numFmtId="0" fontId="11" fillId="0" borderId="7" xfId="0" applyFont="1" applyBorder="1" applyProtection="1">
      <protection locked="0"/>
    </xf>
    <xf numFmtId="0" fontId="0" fillId="3" borderId="0" xfId="0" applyFill="1"/>
    <xf numFmtId="38" fontId="0" fillId="0" borderId="1" xfId="0" applyNumberFormat="1" applyBorder="1"/>
    <xf numFmtId="38" fontId="2" fillId="0" borderId="1" xfId="0" applyNumberFormat="1" applyFont="1" applyBorder="1"/>
    <xf numFmtId="38" fontId="0" fillId="2" borderId="1" xfId="0" applyNumberFormat="1" applyFill="1" applyBorder="1"/>
    <xf numFmtId="38" fontId="0" fillId="0" borderId="1" xfId="0" applyNumberFormat="1" applyFill="1" applyBorder="1"/>
    <xf numFmtId="3" fontId="0" fillId="0" borderId="0" xfId="0" applyNumberFormat="1" applyAlignment="1">
      <alignment horizontal="center"/>
    </xf>
    <xf numFmtId="2" fontId="0" fillId="0" borderId="0" xfId="0" applyNumberFormat="1"/>
    <xf numFmtId="164" fontId="2" fillId="0" borderId="1" xfId="0" applyNumberFormat="1" applyFont="1" applyBorder="1"/>
    <xf numFmtId="0" fontId="2" fillId="0" borderId="1" xfId="0" applyFont="1" applyFill="1" applyBorder="1"/>
    <xf numFmtId="8" fontId="2" fillId="0" borderId="1" xfId="0" applyNumberFormat="1" applyFont="1" applyBorder="1"/>
    <xf numFmtId="0" fontId="0" fillId="0" borderId="0" xfId="0" applyBorder="1" applyAlignment="1" applyProtection="1"/>
    <xf numFmtId="3" fontId="17" fillId="0" borderId="0" xfId="0" applyNumberFormat="1" applyFont="1" applyBorder="1" applyAlignment="1" applyProtection="1">
      <alignment horizontal="left"/>
    </xf>
    <xf numFmtId="0" fontId="17" fillId="0" borderId="0" xfId="0" applyFont="1" applyFill="1" applyBorder="1" applyProtection="1"/>
    <xf numFmtId="0" fontId="17" fillId="0" borderId="7" xfId="0" applyFont="1" applyBorder="1" applyAlignment="1" applyProtection="1">
      <alignment horizontal="left"/>
    </xf>
    <xf numFmtId="0" fontId="20" fillId="0" borderId="7" xfId="0" applyFont="1" applyFill="1" applyBorder="1" applyProtection="1">
      <protection locked="0"/>
    </xf>
    <xf numFmtId="0" fontId="18" fillId="0" borderId="7" xfId="0" applyFont="1" applyFill="1" applyBorder="1" applyProtection="1">
      <protection locked="0"/>
    </xf>
    <xf numFmtId="6" fontId="5" fillId="0" borderId="7" xfId="0" applyNumberFormat="1" applyFont="1" applyBorder="1" applyProtection="1"/>
    <xf numFmtId="170" fontId="0" fillId="0" borderId="0" xfId="0" applyNumberFormat="1" applyProtection="1"/>
    <xf numFmtId="9" fontId="0" fillId="0" borderId="0" xfId="0" applyNumberFormat="1" applyBorder="1" applyAlignment="1" applyProtection="1">
      <alignment horizontal="center"/>
    </xf>
    <xf numFmtId="164" fontId="2" fillId="0" borderId="1" xfId="0" applyNumberFormat="1" applyFont="1" applyBorder="1" applyProtection="1"/>
    <xf numFmtId="0" fontId="5" fillId="0" borderId="0" xfId="0" applyFont="1"/>
    <xf numFmtId="0" fontId="23" fillId="5" borderId="0" xfId="0" applyFont="1" applyFill="1" applyBorder="1"/>
    <xf numFmtId="0" fontId="24" fillId="5" borderId="0" xfId="0" applyFont="1" applyFill="1" applyBorder="1" applyAlignment="1">
      <alignment horizontal="center"/>
    </xf>
    <xf numFmtId="0" fontId="24" fillId="5" borderId="0" xfId="0" applyFont="1" applyFill="1" applyBorder="1"/>
    <xf numFmtId="0" fontId="23" fillId="5" borderId="0" xfId="0" applyFont="1" applyFill="1" applyBorder="1" applyAlignment="1">
      <alignment horizontal="center"/>
    </xf>
    <xf numFmtId="0" fontId="25" fillId="5" borderId="0" xfId="1" applyFill="1" applyBorder="1" applyAlignment="1">
      <alignment horizontal="center"/>
    </xf>
    <xf numFmtId="0" fontId="23" fillId="5" borderId="0" xfId="0" applyFont="1" applyFill="1" applyBorder="1" applyAlignment="1">
      <alignment horizontal="left" vertical="top" wrapText="1"/>
    </xf>
    <xf numFmtId="0" fontId="0" fillId="0" borderId="0" xfId="0" applyAlignment="1">
      <alignment horizontal="left" vertical="top" wrapText="1"/>
    </xf>
    <xf numFmtId="0" fontId="2" fillId="4" borderId="0" xfId="0" applyFont="1" applyFill="1" applyBorder="1" applyAlignment="1" applyProtection="1">
      <alignment horizontal="left"/>
    </xf>
    <xf numFmtId="0" fontId="0" fillId="0" borderId="0" xfId="0" applyAlignment="1">
      <alignment horizontal="left"/>
    </xf>
    <xf numFmtId="0" fontId="8" fillId="0" borderId="16" xfId="0" applyFont="1" applyBorder="1" applyAlignment="1">
      <alignment horizontal="center"/>
    </xf>
    <xf numFmtId="0" fontId="0" fillId="0" borderId="17" xfId="0" applyBorder="1" applyAlignment="1">
      <alignment horizontal="center"/>
    </xf>
  </cellXfs>
  <cellStyles count="3">
    <cellStyle name="Hyperlink" xfId="1" builtinId="8"/>
    <cellStyle name="Normal" xfId="0" builtinId="0"/>
    <cellStyle name="Percent" xfId="2" builtinId="5"/>
  </cellStyles>
  <dxfs count="3">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jschumacher@montana.ed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7"/>
  <sheetViews>
    <sheetView tabSelected="1" workbookViewId="0"/>
  </sheetViews>
  <sheetFormatPr defaultColWidth="9.109375" defaultRowHeight="17.399999999999999" x14ac:dyDescent="0.3"/>
  <cols>
    <col min="1" max="1" width="18.109375" style="151" customWidth="1"/>
    <col min="2" max="2" width="5.33203125" style="151" customWidth="1"/>
    <col min="3" max="3" width="6.44140625" style="151" customWidth="1"/>
    <col min="4" max="4" width="9.109375" style="151"/>
    <col min="5" max="5" width="5.44140625" style="151" customWidth="1"/>
    <col min="6" max="6" width="4.33203125" style="151" customWidth="1"/>
    <col min="7" max="7" width="9.109375" style="151"/>
    <col min="8" max="8" width="4.109375" style="151" customWidth="1"/>
    <col min="9" max="9" width="4.88671875" style="151" customWidth="1"/>
    <col min="10" max="10" width="5.109375" style="151" customWidth="1"/>
    <col min="11" max="16384" width="9.109375" style="151"/>
  </cols>
  <sheetData>
    <row r="3" spans="1:4" ht="24.6" x14ac:dyDescent="0.4">
      <c r="D3" s="152" t="s">
        <v>179</v>
      </c>
    </row>
    <row r="4" spans="1:4" ht="24.6" x14ac:dyDescent="0.4">
      <c r="D4" s="153"/>
    </row>
    <row r="5" spans="1:4" ht="24.6" x14ac:dyDescent="0.4">
      <c r="D5" s="152" t="s">
        <v>188</v>
      </c>
    </row>
    <row r="6" spans="1:4" ht="24.6" x14ac:dyDescent="0.4">
      <c r="D6" s="152" t="s">
        <v>189</v>
      </c>
    </row>
    <row r="7" spans="1:4" ht="45" customHeight="1" x14ac:dyDescent="0.3"/>
    <row r="8" spans="1:4" x14ac:dyDescent="0.3">
      <c r="D8" s="154" t="s">
        <v>180</v>
      </c>
    </row>
    <row r="9" spans="1:4" x14ac:dyDescent="0.3">
      <c r="D9" s="154"/>
    </row>
    <row r="10" spans="1:4" x14ac:dyDescent="0.3">
      <c r="D10" s="154" t="s">
        <v>181</v>
      </c>
    </row>
    <row r="11" spans="1:4" x14ac:dyDescent="0.3">
      <c r="D11" s="154" t="s">
        <v>182</v>
      </c>
    </row>
    <row r="12" spans="1:4" x14ac:dyDescent="0.3">
      <c r="D12" s="154" t="s">
        <v>183</v>
      </c>
    </row>
    <row r="13" spans="1:4" x14ac:dyDescent="0.3">
      <c r="D13" s="155" t="s">
        <v>184</v>
      </c>
    </row>
    <row r="14" spans="1:4" x14ac:dyDescent="0.3">
      <c r="D14" s="154" t="s">
        <v>185</v>
      </c>
    </row>
    <row r="16" spans="1:4" x14ac:dyDescent="0.3">
      <c r="A16" s="151" t="s">
        <v>186</v>
      </c>
    </row>
    <row r="17" spans="1:11" ht="167.25" customHeight="1" x14ac:dyDescent="0.3">
      <c r="A17" s="156" t="s">
        <v>187</v>
      </c>
      <c r="B17" s="157"/>
      <c r="C17" s="157"/>
      <c r="D17" s="157"/>
      <c r="E17" s="157"/>
      <c r="F17" s="157"/>
      <c r="G17" s="157"/>
      <c r="H17" s="157"/>
      <c r="I17" s="157"/>
      <c r="J17" s="157"/>
      <c r="K17" s="157"/>
    </row>
  </sheetData>
  <sheetProtection sheet="1" objects="1" scenarios="1"/>
  <mergeCells count="1">
    <mergeCell ref="A17:K17"/>
  </mergeCells>
  <hyperlinks>
    <hyperlink ref="D1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Y230"/>
  <sheetViews>
    <sheetView showGridLines="0" zoomScaleNormal="100" workbookViewId="0">
      <selection activeCell="I24" sqref="I24"/>
    </sheetView>
  </sheetViews>
  <sheetFormatPr defaultRowHeight="13.2" x14ac:dyDescent="0.25"/>
  <cols>
    <col min="1" max="1" width="5.44140625" customWidth="1"/>
    <col min="2" max="3" width="9" customWidth="1"/>
    <col min="4" max="4" width="11.33203125" customWidth="1"/>
    <col min="5" max="5" width="10.44140625" customWidth="1"/>
    <col min="6" max="6" width="10.109375" customWidth="1"/>
    <col min="7" max="7" width="17.33203125" customWidth="1"/>
    <col min="8" max="8" width="10.44140625" customWidth="1"/>
    <col min="9" max="9" width="11.44140625" customWidth="1"/>
    <col min="11" max="12" width="9.33203125" customWidth="1"/>
    <col min="13" max="13" width="12" customWidth="1"/>
    <col min="14" max="15" width="6.88671875" customWidth="1"/>
    <col min="16" max="16" width="9.88671875" customWidth="1"/>
    <col min="17" max="17" width="10.44140625" customWidth="1"/>
    <col min="18" max="18" width="12" customWidth="1"/>
    <col min="19" max="20" width="6.88671875" customWidth="1"/>
    <col min="22" max="22" width="7.109375" customWidth="1"/>
  </cols>
  <sheetData>
    <row r="1" spans="1:25" x14ac:dyDescent="0.25">
      <c r="A1" s="21"/>
      <c r="B1" s="21"/>
      <c r="C1" s="21"/>
      <c r="D1" s="21"/>
      <c r="E1" s="21"/>
      <c r="F1" s="21"/>
      <c r="G1" s="21"/>
      <c r="H1" s="21"/>
      <c r="I1" s="21"/>
      <c r="J1" s="21"/>
      <c r="K1" s="21"/>
      <c r="L1" s="21"/>
      <c r="M1" s="21"/>
      <c r="N1" s="21"/>
      <c r="O1" s="21"/>
      <c r="P1" s="21"/>
      <c r="Q1" s="21"/>
      <c r="R1" s="21"/>
      <c r="S1" s="21"/>
      <c r="T1" s="21"/>
      <c r="U1" s="21"/>
      <c r="V1" s="21"/>
      <c r="W1" s="21"/>
      <c r="X1" s="21"/>
      <c r="Y1" s="21"/>
    </row>
    <row r="2" spans="1:25" x14ac:dyDescent="0.25">
      <c r="A2" s="21"/>
      <c r="B2" s="21" t="s">
        <v>53</v>
      </c>
      <c r="C2" s="21"/>
      <c r="D2" s="21"/>
      <c r="E2" s="21"/>
      <c r="F2" s="21"/>
      <c r="G2" s="21"/>
      <c r="H2" s="21"/>
      <c r="I2" s="21"/>
      <c r="J2" s="21"/>
      <c r="K2" s="21"/>
      <c r="L2" s="21"/>
      <c r="M2" s="21"/>
      <c r="N2" s="21"/>
      <c r="O2" s="21"/>
      <c r="P2" s="21"/>
      <c r="Q2" s="21"/>
      <c r="R2" s="21"/>
      <c r="S2" s="21"/>
      <c r="T2" s="21"/>
      <c r="U2" s="21"/>
      <c r="V2" s="21"/>
      <c r="W2" s="21"/>
      <c r="X2" s="21"/>
      <c r="Y2" s="21"/>
    </row>
    <row r="3" spans="1:25" x14ac:dyDescent="0.25">
      <c r="A3" s="21"/>
      <c r="B3" s="21" t="s">
        <v>90</v>
      </c>
      <c r="C3" s="21"/>
      <c r="D3" s="21"/>
      <c r="E3" s="21"/>
      <c r="F3" s="21"/>
      <c r="G3" s="21"/>
      <c r="H3" s="21"/>
      <c r="I3" s="21"/>
      <c r="J3" s="21"/>
      <c r="K3" s="21"/>
      <c r="L3" s="21"/>
      <c r="M3" s="21"/>
      <c r="N3" s="21"/>
      <c r="O3" s="21"/>
      <c r="P3" s="21"/>
      <c r="Q3" s="21"/>
      <c r="R3" s="21"/>
      <c r="S3" s="21"/>
      <c r="T3" s="21"/>
      <c r="U3" s="21"/>
      <c r="V3" s="21"/>
      <c r="W3" s="21"/>
      <c r="X3" s="21"/>
      <c r="Y3" s="21"/>
    </row>
    <row r="4" spans="1:25" x14ac:dyDescent="0.25">
      <c r="A4" s="21"/>
      <c r="B4" s="21"/>
      <c r="C4" s="21"/>
      <c r="D4" s="21"/>
      <c r="E4" s="21"/>
      <c r="F4" s="21"/>
      <c r="G4" s="21"/>
      <c r="H4" s="21"/>
      <c r="I4" s="21"/>
      <c r="J4" s="21"/>
      <c r="K4" s="21"/>
      <c r="L4" s="21"/>
      <c r="M4" s="21"/>
      <c r="N4" s="21"/>
      <c r="O4" s="21"/>
      <c r="P4" s="21"/>
      <c r="Q4" s="21"/>
      <c r="R4" s="21"/>
      <c r="S4" s="21"/>
      <c r="T4" s="21"/>
      <c r="U4" s="21"/>
      <c r="V4" s="21"/>
      <c r="W4" s="21"/>
      <c r="X4" s="21"/>
      <c r="Y4" s="21"/>
    </row>
    <row r="5" spans="1:25" ht="17.399999999999999" x14ac:dyDescent="0.3">
      <c r="A5" s="21"/>
      <c r="B5" s="22" t="s">
        <v>61</v>
      </c>
      <c r="C5" s="22"/>
      <c r="D5" s="22"/>
      <c r="E5" s="22"/>
      <c r="F5" s="21"/>
      <c r="G5" s="21"/>
      <c r="H5" s="21"/>
      <c r="I5" s="21"/>
      <c r="J5" s="21"/>
      <c r="K5" s="21"/>
      <c r="L5" s="21"/>
      <c r="M5" s="21"/>
      <c r="N5" s="21"/>
      <c r="O5" s="21"/>
      <c r="P5" s="21"/>
      <c r="Q5" s="21"/>
      <c r="R5" s="21"/>
      <c r="S5" s="21"/>
      <c r="T5" s="21"/>
      <c r="U5" s="21"/>
      <c r="V5" s="21"/>
      <c r="W5" s="21"/>
      <c r="X5" s="21"/>
      <c r="Y5" s="21"/>
    </row>
    <row r="6" spans="1:25" ht="12.75" customHeight="1" x14ac:dyDescent="0.25">
      <c r="A6" s="21"/>
      <c r="B6" s="21" t="s">
        <v>79</v>
      </c>
      <c r="C6" s="21"/>
      <c r="D6" s="21"/>
      <c r="E6" s="21"/>
      <c r="F6" s="21"/>
      <c r="G6" s="21"/>
      <c r="H6" s="21"/>
      <c r="I6" s="21"/>
      <c r="J6" s="21"/>
      <c r="K6" s="21"/>
      <c r="L6" s="21"/>
      <c r="M6" s="23" t="s">
        <v>31</v>
      </c>
      <c r="N6" s="21"/>
      <c r="O6" s="21"/>
      <c r="P6" s="21"/>
      <c r="Q6" s="21"/>
      <c r="R6" s="21"/>
      <c r="S6" s="21"/>
      <c r="T6" s="21"/>
      <c r="U6" s="21"/>
      <c r="V6" s="21"/>
      <c r="W6" s="21"/>
      <c r="X6" s="21"/>
      <c r="Y6" s="21"/>
    </row>
    <row r="7" spans="1:25" ht="12.75" customHeight="1" x14ac:dyDescent="0.25">
      <c r="A7" s="21"/>
      <c r="B7" s="21"/>
      <c r="C7" s="21"/>
      <c r="D7" s="21"/>
      <c r="E7" s="21"/>
      <c r="F7" s="24"/>
      <c r="G7" s="24" t="s">
        <v>44</v>
      </c>
      <c r="H7" s="24"/>
      <c r="I7" s="24" t="s">
        <v>34</v>
      </c>
      <c r="J7" s="24"/>
      <c r="K7" s="25" t="s">
        <v>36</v>
      </c>
      <c r="L7" s="25" t="s">
        <v>36</v>
      </c>
      <c r="M7" s="26" t="s">
        <v>54</v>
      </c>
      <c r="N7" s="21"/>
      <c r="S7" s="21"/>
      <c r="T7" s="21"/>
      <c r="U7" s="21"/>
      <c r="V7" s="21"/>
      <c r="W7" s="21"/>
      <c r="X7" s="21"/>
      <c r="Y7" s="21"/>
    </row>
    <row r="8" spans="1:25" ht="12.75" customHeight="1" x14ac:dyDescent="0.25">
      <c r="A8" s="21"/>
      <c r="B8" s="21"/>
      <c r="C8" s="21"/>
      <c r="D8" s="21"/>
      <c r="E8" s="21"/>
      <c r="F8" s="28"/>
      <c r="G8" s="28" t="s">
        <v>96</v>
      </c>
      <c r="H8" s="28" t="s">
        <v>98</v>
      </c>
      <c r="I8" s="28" t="s">
        <v>35</v>
      </c>
      <c r="J8" s="21"/>
      <c r="K8" s="28" t="s">
        <v>0</v>
      </c>
      <c r="L8" s="28" t="s">
        <v>37</v>
      </c>
      <c r="M8" s="29" t="s">
        <v>55</v>
      </c>
      <c r="N8" s="21"/>
      <c r="S8" s="21"/>
      <c r="T8" s="21"/>
      <c r="U8" s="21"/>
      <c r="V8" s="21"/>
      <c r="W8" s="21"/>
      <c r="X8" s="21"/>
      <c r="Y8" s="21"/>
    </row>
    <row r="9" spans="1:25" s="7" customFormat="1" ht="12.75" customHeight="1" x14ac:dyDescent="0.25">
      <c r="A9" s="23" t="s">
        <v>31</v>
      </c>
      <c r="B9" s="31" t="s">
        <v>5</v>
      </c>
      <c r="C9" s="31"/>
      <c r="D9" s="31"/>
      <c r="E9" s="31"/>
      <c r="F9" s="32" t="s">
        <v>18</v>
      </c>
      <c r="G9" s="32" t="s">
        <v>45</v>
      </c>
      <c r="H9" s="33" t="s">
        <v>97</v>
      </c>
      <c r="I9" s="32" t="s">
        <v>129</v>
      </c>
      <c r="J9" s="28" t="s">
        <v>19</v>
      </c>
      <c r="K9" s="32" t="s">
        <v>38</v>
      </c>
      <c r="L9" s="32" t="s">
        <v>39</v>
      </c>
      <c r="M9" s="34" t="s">
        <v>56</v>
      </c>
      <c r="N9" s="35"/>
      <c r="S9" s="35"/>
      <c r="T9" s="35"/>
      <c r="U9" s="35"/>
      <c r="V9" s="35"/>
      <c r="W9" s="35"/>
      <c r="X9" s="35"/>
      <c r="Y9" s="35"/>
    </row>
    <row r="10" spans="1:25" ht="12.75" customHeight="1" x14ac:dyDescent="0.25">
      <c r="A10" s="21"/>
      <c r="B10" s="111" t="s">
        <v>6</v>
      </c>
      <c r="C10" s="38"/>
      <c r="D10" s="38"/>
      <c r="E10" s="38"/>
      <c r="F10" s="39" t="s">
        <v>17</v>
      </c>
      <c r="G10" s="113" t="s">
        <v>47</v>
      </c>
      <c r="H10" s="114">
        <v>0.2</v>
      </c>
      <c r="I10" s="115">
        <f>1100*100</f>
        <v>110000</v>
      </c>
      <c r="J10" s="116">
        <v>0.38</v>
      </c>
      <c r="K10" s="40">
        <f t="shared" ref="K10:K16" si="0">+I10*J10/7.5</f>
        <v>5573.333333333333</v>
      </c>
      <c r="L10" s="41">
        <f t="shared" ref="L10:L16" si="1">I10*(1-J10)/2000</f>
        <v>34.1</v>
      </c>
      <c r="M10" s="114">
        <v>0</v>
      </c>
      <c r="N10" s="42"/>
      <c r="S10" s="42"/>
      <c r="T10" s="21"/>
      <c r="U10" s="21"/>
      <c r="V10" s="21"/>
      <c r="W10" s="21"/>
      <c r="X10" s="21"/>
      <c r="Y10" s="21"/>
    </row>
    <row r="11" spans="1:25" ht="12.75" customHeight="1" x14ac:dyDescent="0.25">
      <c r="A11" s="21"/>
      <c r="B11" s="111" t="s">
        <v>7</v>
      </c>
      <c r="C11" s="38"/>
      <c r="D11" s="38"/>
      <c r="E11" s="38"/>
      <c r="F11" s="39" t="s">
        <v>17</v>
      </c>
      <c r="G11" s="113" t="s">
        <v>46</v>
      </c>
      <c r="H11" s="114">
        <v>0.18</v>
      </c>
      <c r="I11" s="115">
        <f>60*600</f>
        <v>36000</v>
      </c>
      <c r="J11" s="116">
        <v>0.32</v>
      </c>
      <c r="K11" s="45">
        <f t="shared" si="0"/>
        <v>1536</v>
      </c>
      <c r="L11" s="41">
        <f t="shared" si="1"/>
        <v>12.239999999999998</v>
      </c>
      <c r="M11" s="114">
        <v>0.1</v>
      </c>
      <c r="N11" s="42"/>
      <c r="S11" s="42"/>
      <c r="T11" s="21"/>
      <c r="U11" s="21"/>
      <c r="V11" s="21"/>
      <c r="W11" s="21"/>
      <c r="X11" s="21"/>
      <c r="Y11" s="21"/>
    </row>
    <row r="12" spans="1:25" ht="12.75" customHeight="1" x14ac:dyDescent="0.25">
      <c r="A12" s="23" t="s">
        <v>31</v>
      </c>
      <c r="B12" s="111" t="s">
        <v>88</v>
      </c>
      <c r="C12" s="38"/>
      <c r="D12" s="38"/>
      <c r="E12" s="38"/>
      <c r="F12" s="39" t="s">
        <v>17</v>
      </c>
      <c r="G12" s="113" t="s">
        <v>46</v>
      </c>
      <c r="H12" s="114">
        <v>0.21</v>
      </c>
      <c r="I12" s="115">
        <v>0</v>
      </c>
      <c r="J12" s="116">
        <v>0.39500000000000002</v>
      </c>
      <c r="K12" s="45">
        <f>+I12*J12/7.5</f>
        <v>0</v>
      </c>
      <c r="L12" s="41">
        <f t="shared" si="1"/>
        <v>0</v>
      </c>
      <c r="M12" s="114">
        <v>0</v>
      </c>
      <c r="N12" s="42"/>
      <c r="S12" s="42"/>
      <c r="T12" s="21"/>
      <c r="U12" s="21"/>
      <c r="V12" s="21"/>
      <c r="W12" s="21"/>
      <c r="X12" s="21"/>
      <c r="Y12" s="21"/>
    </row>
    <row r="13" spans="1:25" ht="12.75" customHeight="1" x14ac:dyDescent="0.25">
      <c r="A13" s="21"/>
      <c r="B13" s="111" t="s">
        <v>8</v>
      </c>
      <c r="C13" s="38"/>
      <c r="D13" s="38"/>
      <c r="E13" s="38"/>
      <c r="F13" s="39" t="s">
        <v>17</v>
      </c>
      <c r="G13" s="113" t="s">
        <v>47</v>
      </c>
      <c r="H13" s="114">
        <v>0.19</v>
      </c>
      <c r="I13" s="115">
        <v>5000</v>
      </c>
      <c r="J13" s="116">
        <v>0.35</v>
      </c>
      <c r="K13" s="45">
        <f t="shared" si="0"/>
        <v>233.33333333333334</v>
      </c>
      <c r="L13" s="41">
        <f t="shared" si="1"/>
        <v>1.625</v>
      </c>
      <c r="M13" s="114">
        <v>0</v>
      </c>
      <c r="N13" s="42"/>
      <c r="S13" s="42"/>
      <c r="T13" s="21"/>
      <c r="U13" s="21"/>
      <c r="V13" s="21"/>
      <c r="W13" s="21"/>
      <c r="X13" s="21"/>
      <c r="Y13" s="21"/>
    </row>
    <row r="14" spans="1:25" ht="12.75" customHeight="1" x14ac:dyDescent="0.25">
      <c r="A14" s="21"/>
      <c r="B14" s="111" t="s">
        <v>9</v>
      </c>
      <c r="C14" s="38"/>
      <c r="D14" s="38"/>
      <c r="E14" s="38"/>
      <c r="F14" s="39" t="s">
        <v>17</v>
      </c>
      <c r="G14" s="113" t="s">
        <v>47</v>
      </c>
      <c r="H14" s="114">
        <v>0.26</v>
      </c>
      <c r="I14" s="115">
        <v>0</v>
      </c>
      <c r="J14" s="116">
        <v>0.3</v>
      </c>
      <c r="K14" s="45">
        <f t="shared" si="0"/>
        <v>0</v>
      </c>
      <c r="L14" s="41">
        <f t="shared" si="1"/>
        <v>0</v>
      </c>
      <c r="M14" s="114">
        <v>0</v>
      </c>
      <c r="N14" s="42"/>
      <c r="S14" s="42"/>
      <c r="T14" s="21"/>
      <c r="U14" s="21"/>
      <c r="V14" s="21"/>
      <c r="W14" s="21"/>
      <c r="X14" s="21"/>
      <c r="Y14" s="21"/>
    </row>
    <row r="15" spans="1:25" ht="12.75" customHeight="1" x14ac:dyDescent="0.25">
      <c r="A15" s="21"/>
      <c r="B15" s="111" t="s">
        <v>32</v>
      </c>
      <c r="C15" s="111"/>
      <c r="D15" s="111"/>
      <c r="E15" s="111"/>
      <c r="F15" s="39" t="s">
        <v>17</v>
      </c>
      <c r="G15" s="113" t="s">
        <v>47</v>
      </c>
      <c r="H15" s="114">
        <v>0</v>
      </c>
      <c r="I15" s="115">
        <v>0</v>
      </c>
      <c r="J15" s="116">
        <v>0</v>
      </c>
      <c r="K15" s="45">
        <f t="shared" si="0"/>
        <v>0</v>
      </c>
      <c r="L15" s="41">
        <f t="shared" si="1"/>
        <v>0</v>
      </c>
      <c r="M15" s="114">
        <v>0</v>
      </c>
      <c r="N15" s="42"/>
      <c r="S15" s="42"/>
      <c r="T15" s="21"/>
      <c r="U15" s="21"/>
      <c r="V15" s="21"/>
      <c r="W15" s="21"/>
      <c r="X15" s="21"/>
      <c r="Y15" s="21"/>
    </row>
    <row r="16" spans="1:25" ht="12.75" customHeight="1" x14ac:dyDescent="0.25">
      <c r="A16" s="21"/>
      <c r="B16" s="112" t="s">
        <v>32</v>
      </c>
      <c r="C16" s="112"/>
      <c r="D16" s="112"/>
      <c r="E16" s="112"/>
      <c r="F16" s="46" t="s">
        <v>17</v>
      </c>
      <c r="G16" s="113" t="s">
        <v>46</v>
      </c>
      <c r="H16" s="114">
        <v>0</v>
      </c>
      <c r="I16" s="115">
        <v>0</v>
      </c>
      <c r="J16" s="116">
        <v>0</v>
      </c>
      <c r="K16" s="47">
        <f t="shared" si="0"/>
        <v>0</v>
      </c>
      <c r="L16" s="48">
        <f t="shared" si="1"/>
        <v>0</v>
      </c>
      <c r="M16" s="114">
        <v>0</v>
      </c>
      <c r="N16" s="42"/>
      <c r="S16" s="42"/>
      <c r="T16" s="21"/>
      <c r="U16" s="21"/>
      <c r="V16" s="21"/>
      <c r="W16" s="21"/>
      <c r="X16" s="21"/>
      <c r="Y16" s="21"/>
    </row>
    <row r="17" spans="1:25" ht="12.75" customHeight="1" x14ac:dyDescent="0.25">
      <c r="A17" s="21"/>
      <c r="B17" s="50"/>
      <c r="C17" s="50"/>
      <c r="D17" s="50"/>
      <c r="E17" s="50"/>
      <c r="F17" s="51"/>
      <c r="G17" s="51"/>
      <c r="H17" s="52" t="s">
        <v>101</v>
      </c>
      <c r="I17" s="53">
        <f>SUM(I10:I16)</f>
        <v>151000</v>
      </c>
      <c r="J17" s="38"/>
      <c r="K17" s="21"/>
      <c r="L17" s="21"/>
      <c r="M17" s="42"/>
      <c r="N17" s="42"/>
      <c r="S17" s="42"/>
      <c r="T17" s="21"/>
      <c r="U17" s="21"/>
      <c r="V17" s="21"/>
      <c r="W17" s="21"/>
      <c r="X17" s="21"/>
      <c r="Y17" s="21"/>
    </row>
    <row r="18" spans="1:25" ht="12.75" customHeight="1" x14ac:dyDescent="0.25">
      <c r="A18" s="21"/>
      <c r="B18" s="50"/>
      <c r="C18" s="50"/>
      <c r="D18" s="50"/>
      <c r="E18" s="50"/>
      <c r="F18" s="51"/>
      <c r="G18" s="51"/>
      <c r="H18" s="52" t="s">
        <v>107</v>
      </c>
      <c r="I18" s="21">
        <f>+I17/2000</f>
        <v>75.5</v>
      </c>
      <c r="J18" s="38"/>
      <c r="K18" s="55"/>
      <c r="L18" s="41"/>
      <c r="M18" s="42"/>
      <c r="N18" s="43"/>
      <c r="S18" s="42"/>
      <c r="T18" s="21"/>
      <c r="U18" s="21"/>
      <c r="V18" s="21"/>
      <c r="W18" s="21"/>
      <c r="X18" s="21"/>
      <c r="Y18" s="21"/>
    </row>
    <row r="19" spans="1:25" ht="12.75" customHeight="1" x14ac:dyDescent="0.25">
      <c r="A19" s="21"/>
      <c r="B19" s="50"/>
      <c r="C19" s="50"/>
      <c r="D19" s="50"/>
      <c r="E19" s="50"/>
      <c r="F19" s="51"/>
      <c r="G19" s="51"/>
      <c r="H19" s="52" t="s">
        <v>99</v>
      </c>
      <c r="I19" s="57">
        <f>SUM(K10:K16)</f>
        <v>7342.6666666666661</v>
      </c>
      <c r="J19" s="21"/>
      <c r="K19" s="21"/>
      <c r="L19" s="58"/>
      <c r="M19" s="42"/>
      <c r="N19" s="42"/>
      <c r="S19" s="42"/>
      <c r="T19" s="21"/>
      <c r="U19" s="21"/>
      <c r="V19" s="21"/>
      <c r="W19" s="21"/>
      <c r="X19" s="21"/>
      <c r="Y19" s="21"/>
    </row>
    <row r="20" spans="1:25" ht="12.75" customHeight="1" x14ac:dyDescent="0.25">
      <c r="A20" s="21"/>
      <c r="B20" s="50"/>
      <c r="C20" s="50"/>
      <c r="D20" s="50"/>
      <c r="E20" s="50"/>
      <c r="F20" s="51"/>
      <c r="G20" s="59"/>
      <c r="H20" s="52" t="s">
        <v>100</v>
      </c>
      <c r="I20" s="60">
        <f>SUM(L10:L16)</f>
        <v>47.965000000000003</v>
      </c>
      <c r="J20" s="27"/>
      <c r="N20" s="42"/>
      <c r="O20" s="42"/>
      <c r="P20" s="42"/>
      <c r="Q20" s="42"/>
      <c r="R20" s="42"/>
      <c r="S20" s="42"/>
      <c r="T20" s="21"/>
      <c r="U20" s="21"/>
      <c r="V20" s="21"/>
      <c r="W20" s="21"/>
      <c r="X20" s="21"/>
      <c r="Y20" s="21"/>
    </row>
    <row r="21" spans="1:25" ht="12.75" customHeight="1" x14ac:dyDescent="0.25">
      <c r="A21" s="21"/>
      <c r="B21" s="50"/>
      <c r="C21" s="50"/>
      <c r="D21" s="50"/>
      <c r="E21" s="50"/>
      <c r="F21" s="51"/>
      <c r="G21" s="59"/>
      <c r="H21" s="52"/>
      <c r="I21" s="60"/>
      <c r="J21" s="27"/>
      <c r="N21" s="42"/>
      <c r="O21" s="42"/>
      <c r="P21" s="42"/>
      <c r="Q21" s="42"/>
      <c r="R21" s="42"/>
      <c r="S21" s="42"/>
      <c r="T21" s="21"/>
      <c r="U21" s="21"/>
      <c r="V21" s="21"/>
      <c r="W21" s="21"/>
      <c r="X21" s="21"/>
      <c r="Y21" s="21"/>
    </row>
    <row r="22" spans="1:25" ht="12.75" customHeight="1" x14ac:dyDescent="0.25">
      <c r="A22" s="21"/>
      <c r="B22" s="50"/>
      <c r="E22" s="27" t="s">
        <v>119</v>
      </c>
      <c r="F22" s="27" t="s">
        <v>119</v>
      </c>
      <c r="G22" s="27" t="s">
        <v>120</v>
      </c>
      <c r="H22" s="27"/>
      <c r="I22" s="60"/>
      <c r="J22" s="27"/>
      <c r="N22" s="42"/>
      <c r="O22" s="42"/>
      <c r="P22" s="42"/>
      <c r="Q22" s="42"/>
      <c r="R22" s="42"/>
      <c r="S22" s="42"/>
      <c r="T22" s="21"/>
      <c r="U22" s="21"/>
      <c r="V22" s="21"/>
      <c r="W22" s="21"/>
      <c r="X22" s="21"/>
      <c r="Y22" s="21"/>
    </row>
    <row r="23" spans="1:25" ht="12.75" customHeight="1" x14ac:dyDescent="0.25">
      <c r="A23" s="21"/>
      <c r="B23" s="50"/>
      <c r="E23" s="30" t="s">
        <v>121</v>
      </c>
      <c r="F23" s="30" t="s">
        <v>122</v>
      </c>
      <c r="G23" s="30" t="s">
        <v>123</v>
      </c>
      <c r="H23" s="27"/>
      <c r="N23" s="42"/>
      <c r="O23" s="42"/>
      <c r="P23" s="42"/>
      <c r="Q23" s="42"/>
      <c r="R23" s="42"/>
      <c r="S23" s="42"/>
      <c r="T23" s="21"/>
      <c r="U23" s="21"/>
      <c r="V23" s="21"/>
      <c r="W23" s="21"/>
      <c r="X23" s="21"/>
      <c r="Y23" s="21"/>
    </row>
    <row r="24" spans="1:25" ht="12.75" customHeight="1" x14ac:dyDescent="0.25">
      <c r="A24" s="21"/>
      <c r="B24" s="143" t="s">
        <v>153</v>
      </c>
      <c r="C24" s="37"/>
      <c r="D24" s="37"/>
      <c r="E24" s="37" t="s">
        <v>124</v>
      </c>
      <c r="F24" s="37" t="s">
        <v>124</v>
      </c>
      <c r="G24" s="37" t="s">
        <v>125</v>
      </c>
      <c r="H24" s="36"/>
      <c r="N24" s="42"/>
      <c r="O24" s="42"/>
      <c r="P24" s="42"/>
      <c r="Q24" s="42"/>
      <c r="R24" s="42"/>
      <c r="S24" s="42"/>
      <c r="T24" s="21"/>
      <c r="U24" s="21"/>
      <c r="V24" s="21"/>
      <c r="W24" s="21"/>
      <c r="X24" s="21"/>
      <c r="Y24" s="21"/>
    </row>
    <row r="25" spans="1:25" ht="12.75" customHeight="1" x14ac:dyDescent="0.25">
      <c r="A25" s="21"/>
      <c r="B25" s="142" t="str">
        <f>+B10</f>
        <v>Canola</v>
      </c>
      <c r="E25" s="44">
        <f t="shared" ref="E25:E31" si="2">IF(G10="p",H10*I10,0)</f>
        <v>22000</v>
      </c>
      <c r="F25" s="44">
        <f t="shared" ref="F25:F31" si="3">IF(G10="r",M10*I10,0)</f>
        <v>0</v>
      </c>
      <c r="G25" s="44">
        <f t="shared" ref="G25:G31" si="4">IF(G10="r",(H10-M10)*I10,0)</f>
        <v>0</v>
      </c>
      <c r="H25" s="43"/>
      <c r="N25" s="42"/>
      <c r="O25" s="42"/>
      <c r="P25" s="42"/>
      <c r="Q25" s="42"/>
      <c r="R25" s="42"/>
      <c r="S25" s="42"/>
      <c r="T25" s="21"/>
      <c r="U25" s="21"/>
      <c r="V25" s="21"/>
      <c r="W25" s="21"/>
      <c r="X25" s="21"/>
      <c r="Y25" s="21"/>
    </row>
    <row r="26" spans="1:25" ht="12.75" customHeight="1" x14ac:dyDescent="0.25">
      <c r="A26" s="21"/>
      <c r="B26" s="142" t="str">
        <f t="shared" ref="B26:B31" si="5">+B11</f>
        <v>Camelina</v>
      </c>
      <c r="E26" s="44">
        <f t="shared" si="2"/>
        <v>0</v>
      </c>
      <c r="F26" s="44">
        <f t="shared" si="3"/>
        <v>3600</v>
      </c>
      <c r="G26" s="44">
        <f t="shared" si="4"/>
        <v>2879.9999999999995</v>
      </c>
      <c r="H26" s="43"/>
      <c r="N26" s="42"/>
      <c r="O26" s="42"/>
      <c r="P26" s="42"/>
      <c r="Q26" s="42"/>
      <c r="R26" s="42"/>
      <c r="S26" s="42"/>
      <c r="T26" s="21"/>
      <c r="U26" s="21"/>
      <c r="V26" s="21"/>
      <c r="W26" s="21"/>
      <c r="X26" s="21"/>
      <c r="Y26" s="21"/>
    </row>
    <row r="27" spans="1:25" ht="12.75" customHeight="1" x14ac:dyDescent="0.25">
      <c r="A27" s="21"/>
      <c r="B27" s="142" t="str">
        <f t="shared" si="5"/>
        <v>Flax</v>
      </c>
      <c r="E27" s="44">
        <f t="shared" si="2"/>
        <v>0</v>
      </c>
      <c r="F27" s="44">
        <f t="shared" si="3"/>
        <v>0</v>
      </c>
      <c r="G27" s="44">
        <f t="shared" si="4"/>
        <v>0</v>
      </c>
      <c r="H27" s="43"/>
      <c r="N27" s="42"/>
      <c r="O27" s="42"/>
      <c r="P27" s="42"/>
      <c r="Q27" s="42"/>
      <c r="R27" s="42"/>
      <c r="S27" s="42"/>
      <c r="T27" s="21"/>
      <c r="U27" s="21"/>
      <c r="V27" s="21"/>
      <c r="W27" s="21"/>
      <c r="X27" s="21"/>
      <c r="Y27" s="21"/>
    </row>
    <row r="28" spans="1:25" ht="12.75" customHeight="1" x14ac:dyDescent="0.25">
      <c r="A28" s="21"/>
      <c r="B28" s="142" t="str">
        <f t="shared" si="5"/>
        <v>Safflower</v>
      </c>
      <c r="E28" s="44">
        <f t="shared" si="2"/>
        <v>950</v>
      </c>
      <c r="F28" s="44">
        <f t="shared" si="3"/>
        <v>0</v>
      </c>
      <c r="G28" s="44">
        <f t="shared" si="4"/>
        <v>0</v>
      </c>
      <c r="H28" s="43"/>
      <c r="N28" s="42"/>
      <c r="O28" s="42"/>
      <c r="P28" s="42"/>
      <c r="Q28" s="42"/>
      <c r="R28" s="42"/>
      <c r="S28" s="42"/>
      <c r="T28" s="21"/>
      <c r="U28" s="21"/>
      <c r="V28" s="21"/>
      <c r="W28" s="21"/>
      <c r="X28" s="21"/>
      <c r="Y28" s="21"/>
    </row>
    <row r="29" spans="1:25" ht="12.75" customHeight="1" x14ac:dyDescent="0.25">
      <c r="A29" s="21"/>
      <c r="B29" s="142" t="str">
        <f t="shared" si="5"/>
        <v>Mustard</v>
      </c>
      <c r="E29" s="44">
        <f t="shared" si="2"/>
        <v>0</v>
      </c>
      <c r="F29" s="44">
        <f t="shared" si="3"/>
        <v>0</v>
      </c>
      <c r="G29" s="44">
        <f t="shared" si="4"/>
        <v>0</v>
      </c>
      <c r="H29" s="43"/>
      <c r="N29" s="42"/>
      <c r="O29" s="42"/>
      <c r="P29" s="42"/>
      <c r="Q29" s="42"/>
      <c r="R29" s="42"/>
      <c r="S29" s="42"/>
      <c r="T29" s="21"/>
      <c r="U29" s="21"/>
      <c r="V29" s="21"/>
      <c r="W29" s="21"/>
      <c r="X29" s="21"/>
      <c r="Y29" s="21"/>
    </row>
    <row r="30" spans="1:25" ht="12.75" customHeight="1" x14ac:dyDescent="0.25">
      <c r="A30" s="21"/>
      <c r="B30" s="142" t="str">
        <f t="shared" si="5"/>
        <v>Other</v>
      </c>
      <c r="E30" s="44">
        <f t="shared" si="2"/>
        <v>0</v>
      </c>
      <c r="F30" s="44">
        <f t="shared" si="3"/>
        <v>0</v>
      </c>
      <c r="G30" s="44">
        <f t="shared" si="4"/>
        <v>0</v>
      </c>
      <c r="H30" s="43"/>
      <c r="N30" s="42"/>
      <c r="O30" s="42"/>
      <c r="P30" s="42"/>
      <c r="Q30" s="42"/>
      <c r="R30" s="42"/>
      <c r="S30" s="42"/>
      <c r="T30" s="21"/>
      <c r="U30" s="21"/>
      <c r="V30" s="21"/>
      <c r="W30" s="21"/>
      <c r="X30" s="21"/>
      <c r="Y30" s="21"/>
    </row>
    <row r="31" spans="1:25" ht="12.75" customHeight="1" x14ac:dyDescent="0.25">
      <c r="A31" s="21"/>
      <c r="B31" s="145" t="str">
        <f t="shared" si="5"/>
        <v>Other</v>
      </c>
      <c r="C31" s="144"/>
      <c r="D31" s="144"/>
      <c r="E31" s="49">
        <f t="shared" si="2"/>
        <v>0</v>
      </c>
      <c r="F31" s="49">
        <f t="shared" si="3"/>
        <v>0</v>
      </c>
      <c r="G31" s="49">
        <f t="shared" si="4"/>
        <v>0</v>
      </c>
      <c r="H31" s="43"/>
      <c r="N31" s="42"/>
      <c r="O31" s="42"/>
      <c r="P31" s="42"/>
      <c r="Q31" s="42"/>
      <c r="R31" s="42"/>
      <c r="S31" s="42"/>
      <c r="T31" s="21"/>
      <c r="U31" s="21"/>
      <c r="V31" s="21"/>
      <c r="W31" s="21"/>
      <c r="X31" s="21"/>
      <c r="Y31" s="21"/>
    </row>
    <row r="32" spans="1:25" ht="12.75" customHeight="1" x14ac:dyDescent="0.25">
      <c r="A32" s="21"/>
      <c r="B32" s="50"/>
      <c r="E32" s="44">
        <f>SUM(E25:E31)</f>
        <v>22950</v>
      </c>
      <c r="F32" s="44">
        <f>SUM(F25:F31)</f>
        <v>3600</v>
      </c>
      <c r="G32" s="44">
        <f>SUM(G25:G31)</f>
        <v>2879.9999999999995</v>
      </c>
      <c r="H32" s="54"/>
      <c r="N32" s="42"/>
      <c r="O32" s="42"/>
      <c r="P32" s="42"/>
      <c r="Q32" s="42"/>
      <c r="R32" s="42"/>
      <c r="S32" s="42"/>
      <c r="T32" s="21"/>
      <c r="U32" s="21"/>
      <c r="V32" s="21"/>
      <c r="W32" s="21"/>
      <c r="X32" s="21"/>
      <c r="Y32" s="21"/>
    </row>
    <row r="33" spans="1:25" ht="12.75" customHeight="1" x14ac:dyDescent="0.25">
      <c r="A33" s="21"/>
      <c r="B33" s="141" t="s">
        <v>126</v>
      </c>
      <c r="F33" s="44">
        <f>E32+F32</f>
        <v>26550</v>
      </c>
      <c r="G33" s="56"/>
      <c r="H33" s="43"/>
      <c r="N33" s="42"/>
      <c r="O33" s="42"/>
      <c r="P33" s="42"/>
      <c r="Q33" s="42"/>
      <c r="R33" s="42"/>
      <c r="S33" s="42"/>
      <c r="T33" s="21"/>
      <c r="U33" s="21"/>
      <c r="V33" s="21"/>
      <c r="W33" s="21"/>
      <c r="X33" s="21"/>
      <c r="Y33" s="21"/>
    </row>
    <row r="34" spans="1:25" ht="12.75" customHeight="1" x14ac:dyDescent="0.25">
      <c r="A34" s="21"/>
      <c r="B34" s="50"/>
      <c r="E34" s="42"/>
      <c r="F34" s="54" t="s">
        <v>127</v>
      </c>
      <c r="G34" s="44">
        <f>F33+G32</f>
        <v>29430</v>
      </c>
      <c r="H34" s="42"/>
      <c r="N34" s="42"/>
      <c r="O34" s="42"/>
      <c r="P34" s="42"/>
      <c r="Q34" s="42"/>
      <c r="R34" s="42"/>
      <c r="S34" s="42"/>
      <c r="T34" s="21"/>
      <c r="U34" s="21"/>
      <c r="V34" s="21"/>
      <c r="W34" s="21"/>
      <c r="X34" s="21"/>
      <c r="Y34" s="21"/>
    </row>
    <row r="35" spans="1:25" ht="12.75" customHeight="1" x14ac:dyDescent="0.25">
      <c r="A35" s="21"/>
      <c r="B35" s="61"/>
      <c r="C35" s="61"/>
      <c r="D35" s="61"/>
      <c r="E35" s="61"/>
      <c r="F35" s="21"/>
      <c r="N35" s="21"/>
      <c r="O35" s="21"/>
      <c r="P35" s="42"/>
      <c r="Q35" s="42"/>
      <c r="R35" s="42"/>
      <c r="S35" s="21"/>
      <c r="T35" s="21"/>
      <c r="U35" s="21"/>
      <c r="V35" s="21"/>
      <c r="W35" s="21"/>
      <c r="X35" s="21"/>
      <c r="Y35" s="21"/>
    </row>
    <row r="36" spans="1:25" ht="12.75" customHeight="1" x14ac:dyDescent="0.25">
      <c r="A36" s="21"/>
      <c r="B36" s="62" t="s">
        <v>80</v>
      </c>
      <c r="C36" s="62"/>
      <c r="D36" s="62"/>
      <c r="E36" s="62"/>
      <c r="F36" s="62"/>
      <c r="G36" s="62"/>
      <c r="H36" s="63"/>
      <c r="I36" s="21"/>
      <c r="J36" s="64"/>
      <c r="K36" s="21"/>
      <c r="L36" s="21"/>
      <c r="M36" s="21"/>
      <c r="N36" s="21"/>
      <c r="O36" s="21"/>
      <c r="P36" s="21"/>
      <c r="Q36" s="21"/>
      <c r="R36" s="21"/>
      <c r="S36" s="21"/>
      <c r="T36" s="21"/>
      <c r="U36" s="21"/>
      <c r="V36" s="21"/>
      <c r="W36" s="21"/>
      <c r="X36" s="21"/>
    </row>
    <row r="37" spans="1:25" ht="12.75" customHeight="1" x14ac:dyDescent="0.25">
      <c r="A37" s="23" t="s">
        <v>31</v>
      </c>
      <c r="B37" s="65" t="s">
        <v>66</v>
      </c>
      <c r="C37" s="65"/>
      <c r="D37" s="65"/>
      <c r="E37" s="65"/>
      <c r="F37" s="65"/>
      <c r="G37" s="65"/>
      <c r="H37" s="115">
        <v>5</v>
      </c>
      <c r="I37" s="21"/>
      <c r="J37" s="66"/>
      <c r="K37" s="21"/>
      <c r="L37" s="21"/>
      <c r="M37" s="21"/>
      <c r="N37" s="21"/>
      <c r="O37" s="21"/>
      <c r="P37" s="21"/>
      <c r="Q37" s="21"/>
      <c r="R37" s="21"/>
      <c r="S37" s="21"/>
      <c r="T37" s="21"/>
      <c r="U37" s="21"/>
      <c r="V37" s="21"/>
      <c r="W37" s="21"/>
      <c r="X37" s="21"/>
    </row>
    <row r="38" spans="1:25" ht="12.75" customHeight="1" x14ac:dyDescent="0.25">
      <c r="A38" s="21"/>
      <c r="B38" s="38" t="s">
        <v>67</v>
      </c>
      <c r="C38" s="38"/>
      <c r="D38" s="38"/>
      <c r="E38" s="38"/>
      <c r="F38" s="38"/>
      <c r="G38" s="38"/>
      <c r="H38" s="117">
        <v>8</v>
      </c>
      <c r="I38" s="21"/>
      <c r="J38" s="66"/>
      <c r="K38" s="21"/>
      <c r="L38" s="21"/>
      <c r="M38" s="21"/>
      <c r="N38" s="21"/>
      <c r="O38" s="21"/>
      <c r="P38" s="21"/>
      <c r="Q38" s="21"/>
      <c r="R38" s="21"/>
      <c r="S38" s="21"/>
      <c r="T38" s="21"/>
      <c r="U38" s="21"/>
      <c r="V38" s="21"/>
      <c r="W38" s="21"/>
      <c r="X38" s="21"/>
    </row>
    <row r="39" spans="1:25" ht="12.75" customHeight="1" x14ac:dyDescent="0.25">
      <c r="A39" s="21"/>
      <c r="B39" s="61" t="s">
        <v>68</v>
      </c>
      <c r="C39" s="61"/>
      <c r="D39" s="61"/>
      <c r="E39" s="61"/>
      <c r="F39" s="38"/>
      <c r="G39" s="38"/>
      <c r="H39" s="67">
        <f>H38/24*H37</f>
        <v>1.6666666666666665</v>
      </c>
      <c r="I39" s="21"/>
      <c r="J39" s="66"/>
      <c r="K39" s="21"/>
      <c r="L39" s="21"/>
      <c r="M39" s="21"/>
      <c r="N39" s="21"/>
      <c r="O39" s="21"/>
      <c r="P39" s="21"/>
      <c r="Q39" s="21"/>
      <c r="R39" s="21"/>
      <c r="S39" s="21"/>
      <c r="T39" s="21"/>
      <c r="U39" s="21"/>
      <c r="V39" s="21"/>
      <c r="W39" s="21"/>
      <c r="X39" s="21"/>
    </row>
    <row r="40" spans="1:25" ht="12.75" customHeight="1" x14ac:dyDescent="0.25">
      <c r="A40" s="21"/>
      <c r="B40" s="65" t="s">
        <v>108</v>
      </c>
      <c r="C40" s="65"/>
      <c r="D40" s="65"/>
      <c r="E40" s="65"/>
      <c r="F40" s="65"/>
      <c r="G40" s="65"/>
      <c r="H40" s="68">
        <f>I18/(H37*H38/24)</f>
        <v>45.3</v>
      </c>
      <c r="I40" s="21"/>
      <c r="J40" s="66"/>
      <c r="K40" s="21"/>
      <c r="L40" s="21"/>
      <c r="M40" s="21"/>
      <c r="N40" s="21"/>
      <c r="O40" s="21"/>
      <c r="P40" s="21"/>
      <c r="Q40" s="21"/>
      <c r="R40" s="21"/>
      <c r="S40" s="21"/>
      <c r="T40" s="21"/>
      <c r="U40" s="21"/>
      <c r="V40" s="21"/>
      <c r="W40" s="21"/>
      <c r="X40" s="21"/>
    </row>
    <row r="41" spans="1:25" ht="12.75" customHeight="1" x14ac:dyDescent="0.25">
      <c r="A41" s="23" t="s">
        <v>31</v>
      </c>
      <c r="B41" s="38" t="s">
        <v>89</v>
      </c>
      <c r="C41" s="38"/>
      <c r="D41" s="38"/>
      <c r="E41" s="38"/>
      <c r="F41" s="38"/>
      <c r="G41" s="38"/>
      <c r="H41" s="69">
        <f>H38/H39</f>
        <v>4.8000000000000007</v>
      </c>
      <c r="I41" s="21"/>
      <c r="J41" s="66"/>
      <c r="K41" s="21"/>
      <c r="L41" s="21"/>
      <c r="M41" s="21"/>
      <c r="N41" s="21"/>
      <c r="O41" s="21"/>
      <c r="P41" s="21"/>
      <c r="Q41" s="21"/>
      <c r="R41" s="21"/>
      <c r="S41" s="21"/>
      <c r="T41" s="21"/>
      <c r="U41" s="21"/>
      <c r="V41" s="21"/>
      <c r="W41" s="21"/>
      <c r="X41" s="21"/>
    </row>
    <row r="42" spans="1:25" ht="12.75" customHeight="1" x14ac:dyDescent="0.25">
      <c r="A42" s="23" t="s">
        <v>31</v>
      </c>
      <c r="B42" s="61" t="s">
        <v>155</v>
      </c>
      <c r="C42" s="38"/>
      <c r="D42" s="38"/>
      <c r="E42" s="38"/>
      <c r="F42" s="38"/>
      <c r="G42" s="38"/>
      <c r="H42" s="115">
        <v>1</v>
      </c>
      <c r="I42" s="21"/>
      <c r="J42" s="66"/>
      <c r="K42" s="21"/>
      <c r="L42" s="21"/>
      <c r="M42" s="21"/>
      <c r="N42" s="21"/>
      <c r="O42" s="21"/>
      <c r="P42" s="21"/>
      <c r="Q42" s="21"/>
      <c r="R42" s="21"/>
      <c r="S42" s="21"/>
      <c r="T42" s="21"/>
      <c r="U42" s="21"/>
      <c r="V42" s="21"/>
      <c r="W42" s="21"/>
      <c r="X42" s="21"/>
    </row>
    <row r="43" spans="1:25" ht="12.75" customHeight="1" x14ac:dyDescent="0.25">
      <c r="A43" s="23" t="s">
        <v>31</v>
      </c>
      <c r="B43" s="65" t="s">
        <v>156</v>
      </c>
      <c r="C43" s="65"/>
      <c r="D43" s="65"/>
      <c r="E43" s="65"/>
      <c r="F43" s="65"/>
      <c r="G43" s="65"/>
      <c r="H43" s="118">
        <v>0.65</v>
      </c>
      <c r="I43" s="21"/>
      <c r="J43" s="21"/>
      <c r="K43" s="21"/>
      <c r="L43" s="21"/>
      <c r="M43" s="21"/>
      <c r="N43" s="21"/>
      <c r="O43" s="21"/>
      <c r="P43" s="21"/>
      <c r="Q43" s="21"/>
      <c r="R43" s="21"/>
      <c r="S43" s="21"/>
      <c r="T43" s="21"/>
      <c r="U43" s="21"/>
      <c r="V43" s="21"/>
      <c r="W43" s="21"/>
      <c r="X43" s="21"/>
    </row>
    <row r="44" spans="1:25" ht="12.75" customHeight="1" x14ac:dyDescent="0.25">
      <c r="A44" s="21"/>
      <c r="B44" s="65" t="s">
        <v>157</v>
      </c>
      <c r="C44" s="65"/>
      <c r="D44" s="65"/>
      <c r="E44" s="65"/>
      <c r="F44" s="65"/>
      <c r="G44" s="65"/>
      <c r="H44" s="20">
        <v>0</v>
      </c>
      <c r="I44" s="21"/>
      <c r="J44" s="21"/>
      <c r="K44" s="21"/>
      <c r="L44" s="21"/>
      <c r="M44" s="21"/>
      <c r="N44" s="21"/>
      <c r="O44" s="21"/>
      <c r="P44" s="21"/>
      <c r="Q44" s="21"/>
      <c r="R44" s="21"/>
      <c r="S44" s="21"/>
      <c r="T44" s="21"/>
      <c r="U44" s="21"/>
      <c r="V44" s="21"/>
      <c r="W44" s="21"/>
      <c r="X44" s="21"/>
    </row>
    <row r="45" spans="1:25" ht="12.75" customHeight="1" x14ac:dyDescent="0.25">
      <c r="A45" s="23" t="s">
        <v>31</v>
      </c>
      <c r="B45" s="70" t="s">
        <v>60</v>
      </c>
      <c r="C45" s="70"/>
      <c r="D45" s="70"/>
      <c r="E45" s="70"/>
      <c r="F45" s="65"/>
      <c r="G45" s="65"/>
      <c r="H45" s="20">
        <v>0.05</v>
      </c>
      <c r="I45" s="21"/>
      <c r="J45" s="21"/>
      <c r="K45" s="21"/>
      <c r="L45" s="21"/>
      <c r="M45" s="21"/>
      <c r="N45" s="21"/>
      <c r="O45" s="21"/>
      <c r="P45" s="21"/>
      <c r="Q45" s="21"/>
      <c r="R45" s="21"/>
      <c r="S45" s="21"/>
      <c r="T45" s="21"/>
      <c r="U45" s="21"/>
      <c r="V45" s="21"/>
      <c r="W45" s="21"/>
      <c r="X45" s="21"/>
    </row>
    <row r="46" spans="1:25" ht="12.75" customHeight="1" x14ac:dyDescent="0.25">
      <c r="A46" s="71"/>
      <c r="B46" s="21"/>
      <c r="C46" s="21"/>
      <c r="D46" s="21"/>
      <c r="E46" s="21"/>
      <c r="F46" s="21"/>
      <c r="G46" s="21"/>
      <c r="H46" s="21"/>
      <c r="I46" s="147"/>
      <c r="J46" s="21"/>
      <c r="K46" s="21"/>
      <c r="L46" s="21"/>
      <c r="M46" s="21"/>
      <c r="N46" s="21"/>
      <c r="O46" s="21"/>
      <c r="P46" s="21"/>
      <c r="Q46" s="21"/>
      <c r="R46" s="21"/>
      <c r="S46" s="21"/>
      <c r="T46" s="21"/>
      <c r="U46" s="21"/>
      <c r="V46" s="21"/>
      <c r="W46" s="21"/>
      <c r="X46" s="21"/>
    </row>
    <row r="47" spans="1:25" ht="12.75" customHeight="1" x14ac:dyDescent="0.25">
      <c r="A47" s="21"/>
      <c r="B47" s="62" t="s">
        <v>16</v>
      </c>
      <c r="C47" s="62"/>
      <c r="D47" s="62"/>
      <c r="E47" s="62"/>
      <c r="F47" s="62"/>
      <c r="G47" s="62"/>
      <c r="H47" s="21"/>
      <c r="I47" s="21"/>
      <c r="J47" s="21"/>
      <c r="K47" s="21"/>
      <c r="L47" s="21"/>
      <c r="M47" s="21"/>
      <c r="N47" s="21"/>
      <c r="O47" s="21"/>
      <c r="P47" s="21"/>
      <c r="Q47" s="21"/>
      <c r="R47" s="21"/>
      <c r="S47" s="21"/>
      <c r="T47" s="21"/>
      <c r="U47" s="21"/>
      <c r="V47" s="21"/>
      <c r="W47" s="21"/>
      <c r="X47" s="21"/>
    </row>
    <row r="48" spans="1:25" ht="12.75" customHeight="1" x14ac:dyDescent="0.25">
      <c r="A48" s="21"/>
      <c r="B48" s="38" t="s">
        <v>33</v>
      </c>
      <c r="C48" s="38"/>
      <c r="D48" s="38"/>
      <c r="E48" s="38"/>
      <c r="F48" s="38"/>
      <c r="G48" s="38"/>
      <c r="H48" s="55">
        <f>+(I10*J10+I11*J11+I12*J12+I13*J13+I14*J14+I15*J15+I16*J16)*(H43+((1-H43)*H44))/7.5</f>
        <v>4772.7333333333336</v>
      </c>
      <c r="I48" s="21"/>
      <c r="J48" s="21"/>
      <c r="K48" s="21"/>
      <c r="L48" s="21"/>
      <c r="M48" s="21"/>
      <c r="N48" s="21"/>
      <c r="O48" s="21"/>
      <c r="P48" s="21"/>
      <c r="Q48" s="21"/>
      <c r="R48" s="21"/>
      <c r="S48" s="21"/>
      <c r="T48" s="21"/>
      <c r="U48" s="21"/>
      <c r="V48" s="21"/>
      <c r="W48" s="21"/>
      <c r="X48" s="21"/>
    </row>
    <row r="49" spans="1:24" ht="12.75" customHeight="1" x14ac:dyDescent="0.25">
      <c r="A49" s="21"/>
      <c r="B49" s="61" t="s">
        <v>158</v>
      </c>
      <c r="C49" s="38"/>
      <c r="D49" s="38"/>
      <c r="E49" s="38"/>
      <c r="F49" s="38"/>
      <c r="G49" s="38"/>
      <c r="H49" s="148">
        <f>+H43+(1-H43)*H44</f>
        <v>0.65</v>
      </c>
      <c r="I49" s="21"/>
      <c r="J49" s="21"/>
      <c r="K49" s="21"/>
      <c r="L49" s="21"/>
      <c r="M49" s="21"/>
      <c r="N49" s="21"/>
      <c r="O49" s="21"/>
      <c r="P49" s="21"/>
      <c r="Q49" s="21"/>
      <c r="R49" s="21"/>
      <c r="S49" s="21"/>
      <c r="T49" s="21"/>
      <c r="U49" s="21"/>
      <c r="V49" s="21"/>
      <c r="W49" s="21"/>
      <c r="X49" s="21"/>
    </row>
    <row r="50" spans="1:24" ht="12.75" customHeight="1" x14ac:dyDescent="0.25">
      <c r="A50" s="21"/>
      <c r="B50" s="61" t="s">
        <v>144</v>
      </c>
      <c r="C50" s="61"/>
      <c r="D50" s="61"/>
      <c r="E50" s="61"/>
      <c r="F50" s="38"/>
      <c r="G50" s="38"/>
      <c r="H50" s="55">
        <f>H48/H40</f>
        <v>105.35835172921267</v>
      </c>
      <c r="I50" s="21"/>
      <c r="J50" s="21"/>
      <c r="K50" s="21"/>
      <c r="L50" s="21"/>
      <c r="M50" s="21"/>
      <c r="N50" s="21"/>
      <c r="O50" s="21"/>
      <c r="P50" s="21"/>
      <c r="Q50" s="21"/>
      <c r="R50" s="21"/>
      <c r="S50" s="21"/>
      <c r="T50" s="21"/>
      <c r="U50" s="21"/>
      <c r="V50" s="21"/>
      <c r="W50" s="21"/>
      <c r="X50" s="21"/>
    </row>
    <row r="51" spans="1:24" ht="12.75" customHeight="1" x14ac:dyDescent="0.25">
      <c r="A51" s="21"/>
      <c r="B51" s="38" t="s">
        <v>71</v>
      </c>
      <c r="C51" s="38"/>
      <c r="D51" s="38"/>
      <c r="E51" s="38"/>
      <c r="F51" s="38"/>
      <c r="G51" s="38"/>
      <c r="H51" s="41">
        <f>(1-H45)*$I$17/2000-(H48*7.5/2000)</f>
        <v>53.827249999999992</v>
      </c>
      <c r="I51" s="21"/>
      <c r="J51" s="21"/>
      <c r="K51" s="21"/>
      <c r="L51" s="21"/>
      <c r="M51" s="21"/>
      <c r="N51" s="21"/>
      <c r="O51" s="21"/>
      <c r="P51" s="21"/>
      <c r="Q51" s="21"/>
      <c r="R51" s="21"/>
      <c r="S51" s="21"/>
      <c r="T51" s="21"/>
      <c r="U51" s="21"/>
      <c r="V51" s="21"/>
      <c r="W51" s="21"/>
      <c r="X51" s="21"/>
    </row>
    <row r="52" spans="1:24" ht="12.75" customHeight="1" x14ac:dyDescent="0.25">
      <c r="A52" s="21"/>
      <c r="B52" s="38"/>
      <c r="C52" s="38"/>
      <c r="D52" s="38"/>
      <c r="E52" s="38"/>
      <c r="F52" s="38"/>
      <c r="G52" s="38"/>
      <c r="H52" s="72"/>
      <c r="I52" s="21"/>
      <c r="J52" s="21"/>
      <c r="K52" s="21"/>
      <c r="L52" s="21"/>
      <c r="M52" s="21"/>
      <c r="N52" s="21"/>
      <c r="O52" s="21"/>
      <c r="P52" s="21"/>
      <c r="Q52" s="21"/>
      <c r="R52" s="21"/>
      <c r="S52" s="21"/>
      <c r="T52" s="21"/>
      <c r="U52" s="21"/>
      <c r="V52" s="21"/>
      <c r="W52" s="21"/>
      <c r="X52" s="21"/>
    </row>
    <row r="53" spans="1:24" ht="14.25" customHeight="1" x14ac:dyDescent="0.25">
      <c r="A53" s="21"/>
      <c r="B53" s="62" t="s">
        <v>15</v>
      </c>
      <c r="C53" s="62"/>
      <c r="D53" s="62"/>
      <c r="E53" s="62"/>
      <c r="F53" s="62"/>
      <c r="G53" s="62"/>
      <c r="H53" s="21"/>
      <c r="I53" s="21"/>
      <c r="J53" s="21"/>
      <c r="K53" s="21"/>
      <c r="L53" s="21"/>
      <c r="M53" s="21"/>
      <c r="N53" s="21"/>
      <c r="O53" s="21"/>
      <c r="P53" s="21"/>
      <c r="Q53" s="21"/>
      <c r="R53" s="21"/>
      <c r="S53" s="21"/>
      <c r="T53" s="21"/>
      <c r="U53" s="21"/>
      <c r="V53" s="21"/>
      <c r="W53" s="21"/>
      <c r="X53" s="21"/>
    </row>
    <row r="54" spans="1:24" ht="12.75" customHeight="1" x14ac:dyDescent="0.25">
      <c r="A54" s="23" t="s">
        <v>31</v>
      </c>
      <c r="B54" s="73" t="s">
        <v>143</v>
      </c>
      <c r="C54" s="73"/>
      <c r="D54" s="73"/>
      <c r="E54" s="73"/>
      <c r="F54" s="74"/>
      <c r="G54" s="74"/>
      <c r="H54" s="19">
        <v>1</v>
      </c>
      <c r="I54" s="21"/>
      <c r="J54" s="21"/>
      <c r="K54" s="21"/>
      <c r="L54" s="21"/>
      <c r="M54" s="21"/>
      <c r="N54" s="21"/>
      <c r="O54" s="21"/>
      <c r="P54" s="21"/>
      <c r="Q54" s="21"/>
      <c r="R54" s="21"/>
      <c r="S54" s="21"/>
      <c r="T54" s="21"/>
      <c r="U54" s="21"/>
      <c r="V54" s="21"/>
      <c r="W54" s="21"/>
      <c r="X54" s="21"/>
    </row>
    <row r="55" spans="1:24" ht="12.75" customHeight="1" x14ac:dyDescent="0.25">
      <c r="A55" s="21"/>
      <c r="B55" s="65"/>
      <c r="C55" s="65"/>
      <c r="D55" s="65"/>
      <c r="E55" s="65"/>
      <c r="F55" s="75"/>
      <c r="G55" s="75"/>
      <c r="H55" s="76"/>
      <c r="I55" s="21"/>
      <c r="J55" s="21"/>
      <c r="K55" s="21"/>
      <c r="L55" s="21"/>
      <c r="M55" s="21"/>
      <c r="N55" s="21"/>
      <c r="O55" s="21"/>
      <c r="P55" s="21"/>
      <c r="Q55" s="21"/>
      <c r="R55" s="21"/>
      <c r="S55" s="21"/>
      <c r="T55" s="21"/>
      <c r="U55" s="21"/>
      <c r="V55" s="21"/>
      <c r="W55" s="21"/>
      <c r="X55" s="21"/>
    </row>
    <row r="56" spans="1:24" ht="12.75" customHeight="1" x14ac:dyDescent="0.25">
      <c r="A56" s="23" t="s">
        <v>31</v>
      </c>
      <c r="B56" s="38" t="s">
        <v>70</v>
      </c>
      <c r="C56" s="38"/>
      <c r="D56" s="38"/>
      <c r="E56" s="38"/>
      <c r="F56" s="38"/>
      <c r="G56" s="38"/>
      <c r="H56" s="119">
        <v>350</v>
      </c>
      <c r="I56" s="21"/>
      <c r="K56" s="21"/>
      <c r="L56" s="21"/>
      <c r="M56" s="21"/>
      <c r="N56" s="21"/>
      <c r="O56" s="21"/>
      <c r="P56" s="21"/>
      <c r="Q56" s="21"/>
      <c r="R56" s="21"/>
      <c r="S56" s="21"/>
      <c r="T56" s="21"/>
      <c r="U56" s="21"/>
      <c r="V56" s="21"/>
      <c r="W56" s="21"/>
      <c r="X56" s="21"/>
    </row>
    <row r="57" spans="1:24" ht="12.75" customHeight="1" x14ac:dyDescent="0.25">
      <c r="A57" s="23" t="s">
        <v>31</v>
      </c>
      <c r="B57" s="38" t="s">
        <v>110</v>
      </c>
      <c r="C57" s="38"/>
      <c r="D57" s="38"/>
      <c r="E57" s="38"/>
      <c r="F57" s="38"/>
      <c r="G57" s="38"/>
      <c r="H57" s="119">
        <v>40</v>
      </c>
      <c r="I57" s="21"/>
      <c r="J57" s="21"/>
      <c r="K57" s="21"/>
      <c r="L57" s="21"/>
      <c r="M57" s="21"/>
      <c r="N57" s="21"/>
      <c r="O57" s="21"/>
      <c r="P57" s="21"/>
      <c r="Q57" s="21"/>
      <c r="R57" s="21"/>
      <c r="S57" s="21"/>
      <c r="T57" s="21"/>
      <c r="U57" s="21"/>
      <c r="V57" s="21"/>
      <c r="W57" s="21"/>
      <c r="X57" s="21"/>
    </row>
    <row r="58" spans="1:24" ht="12.75" customHeight="1" x14ac:dyDescent="0.25">
      <c r="A58" s="21"/>
      <c r="B58" s="38" t="s">
        <v>40</v>
      </c>
      <c r="C58" s="38"/>
      <c r="D58" s="38"/>
      <c r="E58" s="38"/>
      <c r="F58" s="38"/>
      <c r="G58" s="38"/>
      <c r="H58" s="78">
        <f>+H56-H57</f>
        <v>310</v>
      </c>
      <c r="I58" s="21"/>
      <c r="J58" s="21"/>
      <c r="K58" s="21"/>
      <c r="L58" s="21"/>
      <c r="M58" s="21"/>
      <c r="N58" s="21"/>
      <c r="O58" s="21"/>
      <c r="P58" s="21"/>
      <c r="Q58" s="21"/>
      <c r="R58" s="21"/>
      <c r="S58" s="21"/>
      <c r="T58" s="21"/>
      <c r="U58" s="21"/>
      <c r="V58" s="21"/>
      <c r="W58" s="21"/>
      <c r="X58" s="21"/>
    </row>
    <row r="59" spans="1:24" ht="12.75" customHeight="1" x14ac:dyDescent="0.25">
      <c r="A59" s="21"/>
      <c r="B59" s="38"/>
      <c r="C59" s="38"/>
      <c r="D59" s="38"/>
      <c r="E59" s="38"/>
      <c r="F59" s="38"/>
      <c r="G59" s="38"/>
      <c r="H59" s="86"/>
      <c r="I59" s="21"/>
      <c r="J59" s="21"/>
      <c r="K59" s="21"/>
      <c r="L59" s="21"/>
      <c r="M59" s="21"/>
      <c r="N59" s="21"/>
      <c r="O59" s="21"/>
      <c r="P59" s="21"/>
      <c r="Q59" s="21"/>
      <c r="R59" s="21"/>
      <c r="S59" s="21"/>
      <c r="T59" s="21"/>
      <c r="U59" s="21"/>
      <c r="V59" s="21"/>
      <c r="W59" s="21"/>
      <c r="X59" s="21"/>
    </row>
    <row r="60" spans="1:24" ht="14.25" customHeight="1" x14ac:dyDescent="0.25">
      <c r="A60" s="21"/>
      <c r="B60" s="62" t="s">
        <v>166</v>
      </c>
      <c r="C60" s="62"/>
      <c r="D60" s="62"/>
      <c r="E60" s="62"/>
      <c r="F60" s="62"/>
      <c r="G60" s="62"/>
      <c r="H60" s="21"/>
      <c r="I60" s="21"/>
      <c r="J60" s="21"/>
      <c r="K60" s="21"/>
      <c r="L60" s="21"/>
      <c r="M60" s="21"/>
      <c r="N60" s="21"/>
      <c r="O60" s="21"/>
      <c r="P60" s="21"/>
      <c r="Q60" s="21"/>
      <c r="R60" s="21"/>
      <c r="S60" s="21"/>
      <c r="T60" s="21"/>
      <c r="U60" s="21"/>
      <c r="V60" s="21"/>
      <c r="W60" s="21"/>
      <c r="X60" s="21"/>
    </row>
    <row r="61" spans="1:24" ht="12.75" customHeight="1" x14ac:dyDescent="0.25">
      <c r="A61" s="23" t="s">
        <v>31</v>
      </c>
      <c r="B61" s="73" t="s">
        <v>167</v>
      </c>
      <c r="C61" s="73"/>
      <c r="D61" s="73"/>
      <c r="E61" s="73"/>
      <c r="F61" s="74"/>
      <c r="G61" s="74"/>
      <c r="H61" s="19">
        <v>1</v>
      </c>
      <c r="I61" s="21"/>
      <c r="J61" s="21"/>
      <c r="K61" s="21"/>
      <c r="L61" s="21"/>
      <c r="M61" s="21"/>
      <c r="N61" s="21"/>
      <c r="O61" s="21"/>
      <c r="P61" s="21"/>
      <c r="Q61" s="21"/>
      <c r="R61" s="21"/>
      <c r="S61" s="21"/>
      <c r="T61" s="21"/>
      <c r="U61" s="21"/>
      <c r="V61" s="21"/>
      <c r="W61" s="21"/>
      <c r="X61" s="21"/>
    </row>
    <row r="62" spans="1:24" ht="12.75" customHeight="1" x14ac:dyDescent="0.25">
      <c r="A62" s="21"/>
      <c r="B62" s="65"/>
      <c r="C62" s="65"/>
      <c r="D62" s="65"/>
      <c r="E62" s="65"/>
      <c r="F62" s="75"/>
      <c r="G62" s="75"/>
      <c r="H62" s="76"/>
      <c r="I62" s="21"/>
      <c r="J62" s="21"/>
      <c r="K62" s="21"/>
      <c r="L62" s="21"/>
      <c r="M62" s="21"/>
      <c r="N62" s="21"/>
      <c r="O62" s="21"/>
      <c r="P62" s="21"/>
      <c r="Q62" s="21"/>
      <c r="R62" s="21"/>
      <c r="S62" s="21"/>
      <c r="T62" s="21"/>
      <c r="U62" s="21"/>
      <c r="V62" s="21"/>
      <c r="W62" s="21"/>
      <c r="X62" s="21"/>
    </row>
    <row r="63" spans="1:24" ht="12.75" customHeight="1" x14ac:dyDescent="0.25">
      <c r="A63" s="23" t="s">
        <v>31</v>
      </c>
      <c r="B63" s="38" t="s">
        <v>168</v>
      </c>
      <c r="C63" s="38"/>
      <c r="D63" s="38"/>
      <c r="E63" s="38"/>
      <c r="F63" s="38"/>
      <c r="G63" s="38"/>
      <c r="H63" s="119">
        <v>3.75</v>
      </c>
      <c r="I63" s="21"/>
      <c r="K63" s="21"/>
      <c r="L63" s="21"/>
      <c r="M63" s="21"/>
      <c r="N63" s="21"/>
      <c r="O63" s="21"/>
      <c r="P63" s="21"/>
      <c r="Q63" s="21"/>
      <c r="R63" s="21"/>
      <c r="S63" s="21"/>
      <c r="T63" s="21"/>
      <c r="U63" s="21"/>
      <c r="V63" s="21"/>
      <c r="W63" s="21"/>
      <c r="X63" s="21"/>
    </row>
    <row r="64" spans="1:24" ht="12.75" customHeight="1" x14ac:dyDescent="0.25">
      <c r="A64" s="23" t="s">
        <v>31</v>
      </c>
      <c r="B64" s="38" t="s">
        <v>174</v>
      </c>
      <c r="C64" s="38"/>
      <c r="D64" s="38"/>
      <c r="E64" s="38"/>
      <c r="F64" s="38"/>
      <c r="G64" s="38"/>
      <c r="H64" s="119">
        <v>0</v>
      </c>
      <c r="I64" s="21"/>
      <c r="J64" s="21"/>
      <c r="K64" s="21"/>
      <c r="L64" s="21"/>
      <c r="M64" s="21"/>
      <c r="N64" s="21"/>
      <c r="O64" s="21"/>
      <c r="P64" s="21"/>
      <c r="Q64" s="21"/>
      <c r="R64" s="21"/>
      <c r="S64" s="21"/>
      <c r="T64" s="21"/>
      <c r="U64" s="21"/>
      <c r="V64" s="21"/>
      <c r="W64" s="21"/>
      <c r="X64" s="21"/>
    </row>
    <row r="65" spans="1:25" ht="12.75" customHeight="1" x14ac:dyDescent="0.25">
      <c r="A65" s="21"/>
      <c r="B65" s="38" t="s">
        <v>40</v>
      </c>
      <c r="C65" s="38"/>
      <c r="D65" s="38"/>
      <c r="E65" s="38"/>
      <c r="F65" s="38"/>
      <c r="G65" s="38"/>
      <c r="H65" s="78">
        <f>+H63-H64</f>
        <v>3.75</v>
      </c>
      <c r="I65" s="21"/>
      <c r="J65" s="21"/>
      <c r="K65" s="21"/>
      <c r="L65" s="21"/>
      <c r="M65" s="21"/>
      <c r="N65" s="21"/>
      <c r="O65" s="21"/>
      <c r="P65" s="21"/>
      <c r="Q65" s="21"/>
      <c r="R65" s="21"/>
      <c r="S65" s="21"/>
      <c r="T65" s="21"/>
      <c r="U65" s="21"/>
      <c r="V65" s="21"/>
      <c r="W65" s="21"/>
      <c r="X65" s="21"/>
    </row>
    <row r="66" spans="1:25" ht="12.75"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ht="12.75" customHeight="1" x14ac:dyDescent="0.25">
      <c r="A67" s="21"/>
      <c r="B67" s="158" t="s">
        <v>65</v>
      </c>
      <c r="C67" s="158"/>
      <c r="D67" s="158"/>
      <c r="E67" s="158"/>
      <c r="F67" s="158"/>
      <c r="G67" s="158"/>
      <c r="H67" s="158"/>
      <c r="I67" s="38"/>
      <c r="J67" s="21"/>
      <c r="K67" s="21"/>
      <c r="L67" s="21"/>
      <c r="M67" s="21"/>
      <c r="N67" s="21"/>
      <c r="O67" s="21"/>
      <c r="P67" s="21"/>
      <c r="Q67" s="21"/>
      <c r="R67" s="21"/>
      <c r="S67" s="21"/>
      <c r="T67" s="21"/>
      <c r="U67" s="21"/>
      <c r="V67" s="21"/>
      <c r="W67" s="21"/>
      <c r="X67" s="21"/>
    </row>
    <row r="68" spans="1:25" ht="12.75" customHeight="1" x14ac:dyDescent="0.25">
      <c r="A68" s="21"/>
      <c r="B68" s="65" t="s">
        <v>10</v>
      </c>
      <c r="C68" s="65"/>
      <c r="D68" s="65"/>
      <c r="E68" s="65"/>
      <c r="F68" s="65"/>
      <c r="G68" s="65"/>
      <c r="H68" s="120">
        <v>500</v>
      </c>
      <c r="I68" s="79"/>
      <c r="J68" s="77"/>
      <c r="K68" s="21"/>
      <c r="L68" s="21"/>
      <c r="M68" s="21"/>
      <c r="N68" s="21"/>
      <c r="O68" s="21"/>
      <c r="P68" s="21"/>
      <c r="Q68" s="21"/>
      <c r="R68" s="21"/>
      <c r="S68" s="21"/>
      <c r="T68" s="21"/>
      <c r="U68" s="21"/>
      <c r="V68" s="21"/>
      <c r="W68" s="21"/>
      <c r="X68" s="21"/>
    </row>
    <row r="69" spans="1:25" ht="12.75" customHeight="1" x14ac:dyDescent="0.25">
      <c r="A69" s="21"/>
      <c r="B69" s="65" t="s">
        <v>175</v>
      </c>
      <c r="C69" s="65"/>
      <c r="D69" s="65"/>
      <c r="E69" s="65"/>
      <c r="F69" s="65"/>
      <c r="G69" s="65"/>
      <c r="H69" s="120">
        <v>8000</v>
      </c>
      <c r="I69" s="79"/>
      <c r="J69" s="21"/>
      <c r="K69" s="21"/>
      <c r="L69" s="21"/>
      <c r="M69" s="21"/>
      <c r="N69" s="21"/>
      <c r="O69" s="21"/>
      <c r="P69" s="21"/>
      <c r="Q69" s="21"/>
      <c r="R69" s="21"/>
      <c r="S69" s="21"/>
      <c r="T69" s="21"/>
      <c r="U69" s="21"/>
      <c r="V69" s="21"/>
      <c r="W69" s="21"/>
      <c r="X69" s="21"/>
    </row>
    <row r="70" spans="1:25" ht="12.75" customHeight="1" x14ac:dyDescent="0.25">
      <c r="A70" s="21"/>
      <c r="B70" s="38" t="s">
        <v>11</v>
      </c>
      <c r="C70" s="38"/>
      <c r="D70" s="38"/>
      <c r="E70" s="38"/>
      <c r="F70" s="38"/>
      <c r="G70" s="38"/>
      <c r="H70" s="120">
        <v>0</v>
      </c>
      <c r="I70" s="79"/>
      <c r="J70" s="21"/>
      <c r="K70" s="21"/>
      <c r="L70" s="21"/>
      <c r="M70" s="21"/>
      <c r="N70" s="21"/>
      <c r="O70" s="21"/>
      <c r="P70" s="21"/>
      <c r="Q70" s="21"/>
      <c r="R70" s="21"/>
      <c r="S70" s="21"/>
      <c r="T70" s="21"/>
      <c r="U70" s="21"/>
      <c r="V70" s="21"/>
      <c r="W70" s="21"/>
      <c r="X70" s="21"/>
    </row>
    <row r="71" spans="1:25" ht="12.75" customHeight="1" x14ac:dyDescent="0.25">
      <c r="A71" s="21"/>
      <c r="B71" s="38" t="s">
        <v>13</v>
      </c>
      <c r="C71" s="38"/>
      <c r="D71" s="38"/>
      <c r="E71" s="38"/>
      <c r="F71" s="38"/>
      <c r="G71" s="38"/>
      <c r="H71" s="120">
        <v>500</v>
      </c>
      <c r="I71" s="79"/>
      <c r="J71" s="21"/>
      <c r="K71" s="21"/>
      <c r="L71" s="21"/>
      <c r="M71" s="21"/>
      <c r="N71" s="21"/>
      <c r="O71" s="21"/>
      <c r="P71" s="21"/>
      <c r="Q71" s="21"/>
      <c r="R71" s="21"/>
      <c r="S71" s="21"/>
      <c r="T71" s="21"/>
      <c r="U71" s="21"/>
      <c r="V71" s="21"/>
      <c r="W71" s="21"/>
      <c r="X71" s="21"/>
    </row>
    <row r="72" spans="1:25" ht="12.75" customHeight="1" x14ac:dyDescent="0.25">
      <c r="A72" s="21"/>
      <c r="B72" s="38" t="s">
        <v>12</v>
      </c>
      <c r="C72" s="38"/>
      <c r="D72" s="38"/>
      <c r="E72" s="38"/>
      <c r="F72" s="38"/>
      <c r="G72" s="38"/>
      <c r="H72" s="120">
        <v>250</v>
      </c>
      <c r="I72" s="79"/>
      <c r="J72" s="21"/>
      <c r="K72" s="21"/>
      <c r="L72" s="21"/>
      <c r="M72" s="21"/>
      <c r="N72" s="21"/>
      <c r="O72" s="21"/>
      <c r="P72" s="21"/>
      <c r="Q72" s="21"/>
      <c r="R72" s="21"/>
      <c r="S72" s="21"/>
      <c r="T72" s="21"/>
      <c r="U72" s="21"/>
      <c r="V72" s="21"/>
      <c r="W72" s="21"/>
      <c r="X72" s="21"/>
    </row>
    <row r="73" spans="1:25" ht="12.75" customHeight="1" x14ac:dyDescent="0.25">
      <c r="A73" s="21"/>
      <c r="B73" s="38" t="s">
        <v>14</v>
      </c>
      <c r="C73" s="38"/>
      <c r="D73" s="38"/>
      <c r="E73" s="38"/>
      <c r="F73" s="38"/>
      <c r="G73" s="38"/>
      <c r="H73" s="120">
        <v>200</v>
      </c>
      <c r="I73" s="79"/>
      <c r="J73" s="21"/>
      <c r="K73" s="21"/>
      <c r="L73" s="21"/>
      <c r="M73" s="21"/>
      <c r="N73" s="21"/>
      <c r="O73" s="21"/>
      <c r="P73" s="21"/>
      <c r="Q73" s="21"/>
      <c r="R73" s="21"/>
      <c r="S73" s="21"/>
      <c r="T73" s="21"/>
      <c r="U73" s="21"/>
      <c r="V73" s="21"/>
      <c r="W73" s="21"/>
      <c r="X73" s="21"/>
    </row>
    <row r="74" spans="1:25" ht="12.75" customHeight="1" x14ac:dyDescent="0.25">
      <c r="A74" s="21"/>
      <c r="B74" s="38" t="s">
        <v>2</v>
      </c>
      <c r="C74" s="38"/>
      <c r="D74" s="38"/>
      <c r="E74" s="38"/>
      <c r="F74" s="38"/>
      <c r="G74" s="38"/>
      <c r="H74" s="120">
        <v>30</v>
      </c>
      <c r="I74" s="79"/>
      <c r="J74" s="21"/>
      <c r="K74" s="21"/>
      <c r="L74" s="21"/>
      <c r="M74" s="21"/>
      <c r="N74" s="21"/>
      <c r="O74" s="21"/>
      <c r="P74" s="21"/>
      <c r="Q74" s="21"/>
      <c r="R74" s="21"/>
      <c r="S74" s="21"/>
      <c r="T74" s="21"/>
      <c r="U74" s="21"/>
      <c r="V74" s="21"/>
      <c r="W74" s="21"/>
      <c r="X74" s="21"/>
    </row>
    <row r="75" spans="1:25" ht="12.75" customHeight="1" x14ac:dyDescent="0.25">
      <c r="A75" s="21"/>
      <c r="B75" s="38" t="s">
        <v>49</v>
      </c>
      <c r="C75" s="80"/>
      <c r="D75" s="80"/>
      <c r="E75" s="80"/>
      <c r="F75" s="80"/>
      <c r="G75" s="80"/>
      <c r="H75" s="120">
        <v>0</v>
      </c>
      <c r="I75" s="79"/>
      <c r="J75" s="21"/>
      <c r="K75" s="21"/>
      <c r="L75" s="21"/>
      <c r="M75" s="21"/>
      <c r="N75" s="21"/>
      <c r="O75" s="21"/>
      <c r="P75" s="21"/>
      <c r="Q75" s="21"/>
      <c r="R75" s="21"/>
      <c r="S75" s="21"/>
      <c r="T75" s="21"/>
      <c r="U75" s="21"/>
      <c r="V75" s="21"/>
      <c r="W75" s="21"/>
      <c r="X75" s="21"/>
    </row>
    <row r="76" spans="1:25" ht="12.75" customHeight="1" x14ac:dyDescent="0.25">
      <c r="A76" s="21"/>
      <c r="B76" s="38" t="s">
        <v>50</v>
      </c>
      <c r="C76" s="80"/>
      <c r="D76" s="80"/>
      <c r="E76" s="80"/>
      <c r="F76" s="80"/>
      <c r="G76" s="80"/>
      <c r="H76" s="120">
        <v>0</v>
      </c>
      <c r="I76" s="79"/>
      <c r="J76" s="21"/>
      <c r="K76" s="21"/>
      <c r="L76" s="21"/>
      <c r="M76" s="21"/>
      <c r="N76" s="21"/>
      <c r="O76" s="21"/>
      <c r="P76" s="21"/>
      <c r="Q76" s="21"/>
      <c r="R76" s="21"/>
      <c r="S76" s="21"/>
      <c r="T76" s="21"/>
      <c r="U76" s="21"/>
      <c r="V76" s="21"/>
      <c r="W76" s="21"/>
      <c r="X76" s="21"/>
    </row>
    <row r="77" spans="1:25" ht="12.75" customHeight="1" x14ac:dyDescent="0.25">
      <c r="A77" s="21"/>
      <c r="B77" s="122" t="s">
        <v>159</v>
      </c>
      <c r="C77" s="122"/>
      <c r="D77" s="122"/>
      <c r="E77" s="122"/>
      <c r="F77" s="122"/>
      <c r="G77" s="80"/>
      <c r="H77" s="120">
        <v>20</v>
      </c>
      <c r="I77" s="79"/>
      <c r="J77" s="21"/>
      <c r="K77" s="21"/>
      <c r="L77" s="21"/>
      <c r="M77" s="21"/>
      <c r="N77" s="21"/>
      <c r="O77" s="21"/>
      <c r="P77" s="21"/>
      <c r="Q77" s="21"/>
      <c r="R77" s="21"/>
      <c r="S77" s="21"/>
      <c r="T77" s="21"/>
      <c r="U77" s="21"/>
      <c r="V77" s="21"/>
      <c r="W77" s="21"/>
      <c r="X77" s="21"/>
    </row>
    <row r="78" spans="1:25" ht="12.75" customHeight="1" x14ac:dyDescent="0.25">
      <c r="A78" s="21"/>
      <c r="B78" s="122" t="s">
        <v>51</v>
      </c>
      <c r="C78" s="122"/>
      <c r="D78" s="122"/>
      <c r="E78" s="122"/>
      <c r="F78" s="122"/>
      <c r="G78" s="80"/>
      <c r="H78" s="120">
        <v>0</v>
      </c>
      <c r="I78" s="79"/>
      <c r="J78" s="21"/>
      <c r="K78" s="21"/>
      <c r="L78" s="21"/>
      <c r="M78" s="21"/>
      <c r="N78" s="21"/>
      <c r="O78" s="21"/>
      <c r="P78" s="21"/>
      <c r="Q78" s="21"/>
      <c r="R78" s="21"/>
      <c r="S78" s="21"/>
      <c r="T78" s="21"/>
      <c r="U78" s="21"/>
      <c r="V78" s="21"/>
      <c r="W78" s="21"/>
      <c r="X78" s="21"/>
    </row>
    <row r="79" spans="1:25" ht="12.75" customHeight="1" thickBot="1" x14ac:dyDescent="0.3">
      <c r="A79" s="21"/>
      <c r="B79" s="122" t="s">
        <v>52</v>
      </c>
      <c r="C79" s="122"/>
      <c r="D79" s="122"/>
      <c r="E79" s="122"/>
      <c r="F79" s="122"/>
      <c r="G79" s="80"/>
      <c r="H79" s="121">
        <v>0</v>
      </c>
      <c r="I79" s="79"/>
      <c r="J79" s="21"/>
      <c r="K79" s="21"/>
      <c r="L79" s="21"/>
      <c r="M79" s="21"/>
      <c r="N79" s="21"/>
      <c r="O79" s="21"/>
      <c r="P79" s="21"/>
      <c r="Q79" s="21"/>
      <c r="R79" s="21"/>
      <c r="S79" s="21"/>
      <c r="T79" s="21"/>
      <c r="U79" s="21"/>
      <c r="V79" s="21"/>
      <c r="W79" s="21"/>
      <c r="X79" s="21"/>
    </row>
    <row r="80" spans="1:25" ht="12.75" customHeight="1" thickTop="1" x14ac:dyDescent="0.25">
      <c r="A80" s="21"/>
      <c r="B80" s="21"/>
      <c r="C80" s="21"/>
      <c r="D80" s="21"/>
      <c r="E80" s="21"/>
      <c r="F80" s="38"/>
      <c r="G80" s="81" t="s">
        <v>149</v>
      </c>
      <c r="H80" s="82">
        <f>SUM(H68:H79)</f>
        <v>9500</v>
      </c>
      <c r="I80" s="38"/>
      <c r="J80" s="21"/>
      <c r="K80" s="21"/>
      <c r="L80" s="21"/>
      <c r="M80" s="21"/>
      <c r="N80" s="21"/>
      <c r="O80" s="21"/>
      <c r="P80" s="21"/>
      <c r="Q80" s="21"/>
      <c r="R80" s="21"/>
      <c r="S80" s="21"/>
      <c r="T80" s="21"/>
      <c r="U80" s="21"/>
      <c r="V80" s="21"/>
      <c r="W80" s="21"/>
      <c r="X80" s="21"/>
    </row>
    <row r="81" spans="1:25" ht="12.75" customHeight="1" x14ac:dyDescent="0.25">
      <c r="A81" s="21"/>
      <c r="B81" s="38"/>
      <c r="C81" s="38"/>
      <c r="D81" s="38"/>
      <c r="E81" s="38"/>
      <c r="F81" s="38"/>
      <c r="G81" s="38"/>
      <c r="H81" s="83"/>
      <c r="I81" s="21"/>
      <c r="J81" s="21"/>
      <c r="K81" s="21"/>
      <c r="L81" s="21"/>
      <c r="M81" s="21"/>
      <c r="N81" s="21"/>
      <c r="O81" s="21"/>
      <c r="P81" s="21"/>
      <c r="Q81" s="21"/>
      <c r="R81" s="21"/>
      <c r="S81" s="21"/>
      <c r="T81" s="21"/>
      <c r="U81" s="21"/>
      <c r="V81" s="21"/>
      <c r="W81" s="21"/>
      <c r="X81" s="21"/>
    </row>
    <row r="82" spans="1:25" ht="12.75" customHeight="1" x14ac:dyDescent="0.25">
      <c r="A82" s="21"/>
      <c r="B82" s="38" t="s">
        <v>1</v>
      </c>
      <c r="C82" s="38"/>
      <c r="D82" s="38"/>
      <c r="E82" s="38"/>
      <c r="F82" s="38"/>
      <c r="G82" s="38"/>
      <c r="H82" s="123">
        <v>0.06</v>
      </c>
      <c r="I82" s="21"/>
      <c r="J82" s="21"/>
      <c r="K82" s="21"/>
      <c r="L82" s="21"/>
      <c r="M82" s="21"/>
      <c r="N82" s="21"/>
      <c r="O82" s="21"/>
      <c r="P82" s="21"/>
      <c r="Q82" s="21"/>
      <c r="R82" s="21"/>
      <c r="S82" s="21"/>
      <c r="T82" s="21"/>
      <c r="U82" s="21"/>
      <c r="V82" s="21"/>
      <c r="W82" s="21"/>
      <c r="X82" s="21"/>
    </row>
    <row r="83" spans="1:25" ht="12.75" customHeight="1" x14ac:dyDescent="0.25">
      <c r="A83" s="21"/>
      <c r="B83" s="38" t="s">
        <v>3</v>
      </c>
      <c r="C83" s="38"/>
      <c r="D83" s="38"/>
      <c r="E83" s="38"/>
      <c r="F83" s="38"/>
      <c r="G83" s="38"/>
      <c r="H83" s="124">
        <v>5</v>
      </c>
      <c r="I83" s="21"/>
      <c r="J83" s="21"/>
      <c r="K83" s="21"/>
      <c r="L83" s="21"/>
      <c r="M83" s="21"/>
      <c r="N83" s="21"/>
      <c r="O83" s="21"/>
      <c r="P83" s="21"/>
      <c r="Q83" s="21"/>
      <c r="R83" s="21"/>
      <c r="S83" s="21"/>
      <c r="T83" s="21"/>
      <c r="U83" s="21"/>
      <c r="V83" s="21"/>
      <c r="W83" s="21"/>
      <c r="X83" s="21"/>
    </row>
    <row r="84" spans="1:25" ht="12.75" customHeight="1" x14ac:dyDescent="0.25">
      <c r="A84" s="21"/>
      <c r="B84" s="38" t="s">
        <v>41</v>
      </c>
      <c r="C84" s="38"/>
      <c r="D84" s="38"/>
      <c r="E84" s="38"/>
      <c r="F84" s="38"/>
      <c r="G84" s="38"/>
      <c r="H84" s="84">
        <f>-PPMT(H82,1,H83,H80)</f>
        <v>1685.2658040963015</v>
      </c>
      <c r="I84" s="21"/>
      <c r="J84" s="21"/>
      <c r="K84" s="21"/>
      <c r="L84" s="21"/>
      <c r="M84" s="21"/>
      <c r="N84" s="21"/>
      <c r="O84" s="21"/>
      <c r="P84" s="21"/>
      <c r="Q84" s="21"/>
      <c r="R84" s="21"/>
      <c r="S84" s="21"/>
      <c r="T84" s="21"/>
      <c r="U84" s="21"/>
      <c r="V84" s="21"/>
      <c r="W84" s="21"/>
      <c r="X84" s="21"/>
    </row>
    <row r="85" spans="1:25" ht="12.75" customHeight="1" thickBot="1" x14ac:dyDescent="0.3">
      <c r="A85" s="21"/>
      <c r="B85" s="61" t="s">
        <v>42</v>
      </c>
      <c r="C85" s="61"/>
      <c r="D85" s="61"/>
      <c r="E85" s="61"/>
      <c r="F85" s="61"/>
      <c r="G85" s="61"/>
      <c r="H85" s="85">
        <f>-IPMT($H$82,1,$H$83,$H$80)</f>
        <v>570</v>
      </c>
      <c r="I85" s="21"/>
      <c r="J85" s="21"/>
      <c r="K85" s="21"/>
      <c r="L85" s="21"/>
      <c r="M85" s="21"/>
      <c r="N85" s="21"/>
      <c r="O85" s="21"/>
      <c r="P85" s="21"/>
      <c r="Q85" s="21"/>
      <c r="R85" s="21"/>
      <c r="S85" s="21"/>
      <c r="T85" s="21"/>
      <c r="U85" s="21"/>
      <c r="V85" s="21"/>
      <c r="W85" s="21"/>
      <c r="X85" s="21"/>
    </row>
    <row r="86" spans="1:25" ht="12.75" customHeight="1" thickTop="1" x14ac:dyDescent="0.25">
      <c r="A86" s="21"/>
      <c r="B86" s="21"/>
      <c r="C86" s="21"/>
      <c r="D86" s="21"/>
      <c r="E86" s="21"/>
      <c r="F86" s="38"/>
      <c r="G86" s="81" t="s">
        <v>48</v>
      </c>
      <c r="H86" s="82">
        <f>PMT(H82,H83,-H80,0)</f>
        <v>2255.2658040963011</v>
      </c>
      <c r="I86" s="21"/>
      <c r="J86" s="21"/>
      <c r="K86" s="21"/>
      <c r="L86" s="21"/>
      <c r="M86" s="21"/>
      <c r="N86" s="21"/>
      <c r="O86" s="21"/>
      <c r="P86" s="21"/>
      <c r="Q86" s="21"/>
      <c r="R86" s="21"/>
      <c r="S86" s="21"/>
      <c r="T86" s="21"/>
      <c r="U86" s="21"/>
      <c r="V86" s="21"/>
      <c r="W86" s="21"/>
      <c r="X86" s="21"/>
    </row>
    <row r="87" spans="1:25" ht="12.75" customHeight="1" x14ac:dyDescent="0.25">
      <c r="A87" s="21"/>
      <c r="B87" s="38"/>
      <c r="C87" s="38"/>
      <c r="D87" s="38"/>
      <c r="E87" s="38"/>
      <c r="F87" s="38"/>
      <c r="G87" s="38"/>
      <c r="H87" s="86"/>
      <c r="I87" s="21"/>
      <c r="J87" s="21"/>
      <c r="K87" s="21"/>
      <c r="L87" s="21"/>
      <c r="M87" s="21"/>
      <c r="N87" s="21"/>
      <c r="O87" s="21"/>
      <c r="P87" s="21"/>
      <c r="Q87" s="21"/>
      <c r="R87" s="21"/>
      <c r="S87" s="21"/>
      <c r="T87" s="21"/>
      <c r="U87" s="21"/>
      <c r="V87" s="21"/>
      <c r="W87" s="21"/>
      <c r="X87" s="21"/>
    </row>
    <row r="88" spans="1:25" ht="12.75" customHeight="1" x14ac:dyDescent="0.25">
      <c r="A88" s="21"/>
      <c r="B88" s="61" t="s">
        <v>81</v>
      </c>
      <c r="C88" s="61"/>
      <c r="D88" s="61"/>
      <c r="E88" s="61"/>
      <c r="F88" s="21"/>
      <c r="G88" s="21"/>
      <c r="H88" s="87">
        <f>+H80/7</f>
        <v>1357.1428571428571</v>
      </c>
      <c r="I88" s="21"/>
      <c r="J88" s="21"/>
      <c r="K88" s="21"/>
      <c r="L88" s="21"/>
      <c r="M88" s="21"/>
      <c r="N88" s="21"/>
      <c r="O88" s="21"/>
      <c r="P88" s="21"/>
      <c r="Q88" s="21"/>
      <c r="R88" s="21"/>
      <c r="S88" s="21"/>
      <c r="T88" s="21"/>
      <c r="U88" s="21"/>
      <c r="V88" s="21"/>
      <c r="W88" s="21"/>
      <c r="X88" s="21"/>
    </row>
    <row r="89" spans="1:25" ht="12.75" customHeight="1" x14ac:dyDescent="0.25">
      <c r="A89" s="21"/>
      <c r="B89" s="61"/>
      <c r="C89" s="61"/>
      <c r="D89" s="61"/>
      <c r="E89" s="61"/>
      <c r="F89" s="21"/>
      <c r="G89" s="21"/>
      <c r="H89" s="87"/>
      <c r="I89" s="21"/>
      <c r="J89" s="21"/>
      <c r="K89" s="21"/>
      <c r="L89" s="21"/>
      <c r="M89" s="21"/>
      <c r="N89" s="21"/>
      <c r="O89" s="21"/>
      <c r="P89" s="21"/>
      <c r="Q89" s="21"/>
      <c r="R89" s="21"/>
      <c r="S89" s="21"/>
      <c r="T89" s="21"/>
      <c r="U89" s="21"/>
      <c r="V89" s="21"/>
      <c r="W89" s="21"/>
      <c r="X89" s="21"/>
    </row>
    <row r="90" spans="1:25" ht="12.75" customHeight="1" x14ac:dyDescent="0.25">
      <c r="A90" s="21"/>
      <c r="B90" s="61" t="s">
        <v>57</v>
      </c>
      <c r="C90" s="61"/>
      <c r="D90" s="61"/>
      <c r="E90" s="61"/>
      <c r="F90" s="38"/>
      <c r="G90" s="38"/>
      <c r="H90" s="120">
        <v>0</v>
      </c>
      <c r="I90" s="21"/>
      <c r="J90" s="21"/>
      <c r="K90" s="21"/>
      <c r="L90" s="21"/>
      <c r="M90" s="21"/>
      <c r="N90" s="21"/>
      <c r="O90" s="21"/>
      <c r="P90" s="21"/>
      <c r="Q90" s="21"/>
      <c r="R90" s="21"/>
      <c r="S90" s="21"/>
      <c r="T90" s="21"/>
      <c r="U90" s="21"/>
      <c r="V90" s="21"/>
      <c r="W90" s="21"/>
      <c r="X90" s="21"/>
    </row>
    <row r="91" spans="1:25" ht="12.75" customHeight="1" thickBot="1" x14ac:dyDescent="0.3">
      <c r="A91" s="21"/>
      <c r="B91" s="88" t="s">
        <v>58</v>
      </c>
      <c r="C91" s="88"/>
      <c r="D91" s="88"/>
      <c r="E91" s="88"/>
      <c r="F91" s="89"/>
      <c r="G91" s="90"/>
      <c r="H91" s="120">
        <v>0</v>
      </c>
      <c r="I91" s="21"/>
      <c r="J91" s="21"/>
      <c r="K91" s="21"/>
      <c r="L91" s="21"/>
      <c r="M91" s="21"/>
      <c r="N91" s="21"/>
      <c r="O91" s="21"/>
      <c r="P91" s="21"/>
      <c r="Q91" s="21"/>
      <c r="R91" s="21"/>
      <c r="S91" s="21"/>
      <c r="T91" s="21"/>
      <c r="U91" s="21"/>
      <c r="V91" s="21"/>
      <c r="W91" s="21"/>
      <c r="X91" s="21"/>
    </row>
    <row r="92" spans="1:25" ht="12.75" customHeight="1" thickTop="1" x14ac:dyDescent="0.25">
      <c r="A92" s="21"/>
      <c r="B92" s="61" t="s">
        <v>148</v>
      </c>
      <c r="C92" s="61"/>
      <c r="D92" s="61"/>
      <c r="E92" s="61"/>
      <c r="F92" s="38"/>
      <c r="G92" s="38"/>
      <c r="H92" s="82">
        <f>+H90+H91</f>
        <v>0</v>
      </c>
      <c r="I92" s="21"/>
      <c r="J92" s="21"/>
      <c r="K92" s="21"/>
      <c r="L92" s="21"/>
      <c r="M92" s="21"/>
      <c r="N92" s="21"/>
      <c r="O92" s="21"/>
      <c r="P92" s="21"/>
      <c r="Q92" s="21"/>
      <c r="R92" s="21"/>
      <c r="S92" s="21"/>
      <c r="T92" s="21"/>
      <c r="U92" s="21"/>
      <c r="V92" s="21"/>
      <c r="W92" s="21"/>
      <c r="X92" s="21"/>
    </row>
    <row r="93" spans="1:25" ht="12.75" customHeight="1" x14ac:dyDescent="0.25">
      <c r="A93" s="21"/>
      <c r="B93" s="61"/>
      <c r="C93" s="61"/>
      <c r="D93" s="61"/>
      <c r="E93" s="61"/>
      <c r="F93" s="38"/>
      <c r="G93" s="38"/>
      <c r="H93" s="91"/>
      <c r="I93" s="91"/>
      <c r="J93" s="21"/>
      <c r="K93" s="21"/>
      <c r="L93" s="21"/>
      <c r="M93" s="21"/>
      <c r="N93" s="21"/>
      <c r="O93" s="21"/>
      <c r="P93" s="21"/>
      <c r="Q93" s="21"/>
      <c r="R93" s="21"/>
      <c r="S93" s="21"/>
      <c r="T93" s="21"/>
      <c r="U93" s="21"/>
      <c r="V93" s="21"/>
      <c r="W93" s="21"/>
      <c r="X93" s="21"/>
      <c r="Y93" s="21"/>
    </row>
    <row r="94" spans="1:25" x14ac:dyDescent="0.25">
      <c r="A94" s="21"/>
      <c r="B94" s="158" t="s">
        <v>82</v>
      </c>
      <c r="C94" s="159"/>
      <c r="D94" s="159"/>
      <c r="E94" s="159"/>
      <c r="F94" s="159"/>
      <c r="G94" s="159"/>
      <c r="H94" s="159"/>
      <c r="I94" s="140"/>
      <c r="J94" s="21"/>
      <c r="K94" s="21"/>
      <c r="L94" s="21"/>
      <c r="M94" s="21"/>
      <c r="N94" s="21"/>
      <c r="O94" s="21"/>
      <c r="P94" s="21"/>
      <c r="Q94" s="21"/>
      <c r="R94" s="21"/>
      <c r="S94" s="21"/>
      <c r="T94" s="21"/>
      <c r="U94" s="21"/>
      <c r="V94" s="21"/>
      <c r="W94" s="21"/>
      <c r="X94" s="21"/>
      <c r="Y94" s="21"/>
    </row>
    <row r="95" spans="1:25" ht="12.75" customHeight="1" x14ac:dyDescent="0.25">
      <c r="A95" s="23" t="s">
        <v>31</v>
      </c>
      <c r="B95" s="38" t="s">
        <v>109</v>
      </c>
      <c r="C95" s="38"/>
      <c r="D95" s="38"/>
      <c r="E95" s="38"/>
      <c r="F95" s="38"/>
      <c r="G95" s="38"/>
      <c r="H95" s="119">
        <v>8</v>
      </c>
      <c r="I95" s="21"/>
      <c r="J95" s="21"/>
      <c r="K95" s="21"/>
      <c r="L95" s="21"/>
      <c r="M95" s="21"/>
      <c r="N95" s="21"/>
      <c r="O95" s="21"/>
      <c r="P95" s="21"/>
      <c r="Q95" s="21"/>
      <c r="R95" s="21"/>
      <c r="S95" s="21"/>
      <c r="T95" s="21"/>
      <c r="U95" s="21"/>
      <c r="V95" s="21"/>
      <c r="W95" s="21"/>
      <c r="X95" s="21"/>
    </row>
    <row r="96" spans="1:25" ht="12.75" customHeight="1" x14ac:dyDescent="0.25">
      <c r="A96" s="71"/>
      <c r="B96" s="38" t="s">
        <v>130</v>
      </c>
      <c r="C96" s="38"/>
      <c r="D96" s="38"/>
      <c r="E96" s="38"/>
      <c r="F96" s="38"/>
      <c r="G96" s="38"/>
      <c r="H96" s="123">
        <v>0</v>
      </c>
      <c r="I96" s="21"/>
      <c r="J96" s="21"/>
      <c r="K96" s="21"/>
      <c r="L96" s="21"/>
      <c r="M96" s="21"/>
      <c r="N96" s="21"/>
      <c r="O96" s="21"/>
      <c r="P96" s="21"/>
      <c r="Q96" s="21"/>
      <c r="R96" s="21"/>
      <c r="S96" s="21"/>
      <c r="T96" s="21"/>
      <c r="U96" s="21"/>
      <c r="V96" s="21"/>
      <c r="W96" s="21"/>
      <c r="X96" s="21"/>
    </row>
    <row r="97" spans="1:24" ht="12.75" customHeight="1" x14ac:dyDescent="0.25">
      <c r="A97" s="21"/>
      <c r="B97" s="38" t="s">
        <v>63</v>
      </c>
      <c r="C97" s="38"/>
      <c r="D97" s="38"/>
      <c r="E97" s="38"/>
      <c r="F97" s="38"/>
      <c r="G97" s="38"/>
      <c r="H97" s="86">
        <f>H95*H41</f>
        <v>38.400000000000006</v>
      </c>
      <c r="I97" s="21"/>
      <c r="J97" s="21"/>
      <c r="K97" s="21"/>
      <c r="L97" s="21"/>
      <c r="M97" s="21"/>
      <c r="N97" s="21"/>
      <c r="O97" s="21"/>
      <c r="P97" s="21"/>
      <c r="Q97" s="21"/>
      <c r="R97" s="21"/>
      <c r="S97" s="21"/>
      <c r="T97" s="21"/>
      <c r="U97" s="21"/>
      <c r="V97" s="21"/>
      <c r="W97" s="21"/>
      <c r="X97" s="21"/>
    </row>
    <row r="98" spans="1:24" ht="12.75" customHeight="1" x14ac:dyDescent="0.25">
      <c r="A98" s="21"/>
      <c r="B98" s="38"/>
      <c r="C98" s="38"/>
      <c r="D98" s="38"/>
      <c r="E98" s="38"/>
      <c r="F98" s="38"/>
      <c r="G98" s="81" t="s">
        <v>114</v>
      </c>
      <c r="H98" s="93">
        <f>I18/(H37/24)*H95</f>
        <v>2899.2</v>
      </c>
      <c r="I98" s="21"/>
      <c r="J98" s="21"/>
      <c r="K98" s="21"/>
      <c r="L98" s="21"/>
      <c r="M98" s="21"/>
      <c r="N98" s="21"/>
      <c r="O98" s="21"/>
      <c r="P98" s="21"/>
      <c r="Q98" s="21"/>
      <c r="R98" s="21"/>
      <c r="S98" s="21"/>
      <c r="T98" s="21"/>
      <c r="U98" s="21"/>
      <c r="V98" s="21"/>
      <c r="W98" s="21"/>
      <c r="X98" s="21"/>
    </row>
    <row r="99" spans="1:24" ht="12.75" customHeight="1" x14ac:dyDescent="0.25">
      <c r="A99" s="21"/>
      <c r="B99" s="38"/>
      <c r="C99" s="38"/>
      <c r="D99" s="38"/>
      <c r="E99" s="38"/>
      <c r="F99" s="38"/>
      <c r="G99" s="81"/>
      <c r="H99" s="66"/>
      <c r="I99" s="21"/>
      <c r="J99" s="21"/>
      <c r="K99" s="21"/>
      <c r="L99" s="21"/>
      <c r="M99" s="21"/>
      <c r="N99" s="21"/>
      <c r="O99" s="21"/>
      <c r="P99" s="21"/>
      <c r="Q99" s="21"/>
      <c r="R99" s="21"/>
      <c r="S99" s="21"/>
      <c r="T99" s="21"/>
      <c r="U99" s="21"/>
      <c r="V99" s="21"/>
      <c r="W99" s="21"/>
      <c r="X99" s="21"/>
    </row>
    <row r="100" spans="1:24" ht="12.75" customHeight="1" x14ac:dyDescent="0.25">
      <c r="A100" s="21"/>
      <c r="B100" s="65" t="s">
        <v>69</v>
      </c>
      <c r="C100" s="65"/>
      <c r="D100" s="65"/>
      <c r="E100" s="65"/>
      <c r="F100" s="80"/>
      <c r="G100" s="80"/>
      <c r="H100" s="94">
        <f>G34</f>
        <v>29430</v>
      </c>
      <c r="I100" s="21"/>
      <c r="J100" s="21"/>
      <c r="K100" s="21"/>
      <c r="L100" s="21"/>
      <c r="M100" s="21"/>
      <c r="N100" s="21"/>
      <c r="O100" s="21"/>
      <c r="P100" s="21"/>
      <c r="Q100" s="21"/>
      <c r="R100" s="21"/>
      <c r="S100" s="21"/>
      <c r="T100" s="21"/>
      <c r="U100" s="21"/>
      <c r="V100" s="21"/>
      <c r="W100" s="21"/>
      <c r="X100" s="21"/>
    </row>
    <row r="101" spans="1:24" ht="12.75" customHeight="1" x14ac:dyDescent="0.25">
      <c r="A101" s="21"/>
      <c r="B101" s="38"/>
      <c r="C101" s="38"/>
      <c r="D101" s="38"/>
      <c r="E101" s="38"/>
      <c r="F101" s="38"/>
      <c r="G101" s="81"/>
      <c r="H101" s="66"/>
      <c r="I101" s="21"/>
      <c r="J101" s="21"/>
      <c r="K101" s="21"/>
      <c r="L101" s="21"/>
      <c r="M101" s="21"/>
      <c r="N101" s="21"/>
      <c r="O101" s="21"/>
      <c r="P101" s="21"/>
      <c r="Q101" s="21"/>
      <c r="R101" s="21"/>
      <c r="S101" s="21"/>
      <c r="T101" s="21"/>
      <c r="U101" s="21"/>
      <c r="V101" s="21"/>
      <c r="W101" s="21"/>
      <c r="X101" s="21"/>
    </row>
    <row r="102" spans="1:24" ht="12.75" customHeight="1" x14ac:dyDescent="0.25">
      <c r="A102" s="21"/>
      <c r="B102" s="62" t="s">
        <v>91</v>
      </c>
      <c r="C102" s="62"/>
      <c r="D102" s="62"/>
      <c r="E102" s="62"/>
      <c r="F102" s="89"/>
      <c r="G102" s="95"/>
      <c r="H102" s="66"/>
      <c r="I102" s="21"/>
      <c r="J102" s="21"/>
      <c r="K102" s="21"/>
      <c r="L102" s="21"/>
      <c r="M102" s="21"/>
      <c r="N102" s="21"/>
      <c r="O102" s="21"/>
      <c r="P102" s="21"/>
      <c r="Q102" s="21"/>
      <c r="R102" s="21"/>
      <c r="S102" s="21"/>
      <c r="T102" s="21"/>
      <c r="U102" s="21"/>
      <c r="V102" s="21"/>
      <c r="W102" s="21"/>
      <c r="X102" s="21"/>
    </row>
    <row r="103" spans="1:24" ht="12.75" customHeight="1" x14ac:dyDescent="0.25">
      <c r="A103" s="21"/>
      <c r="B103" s="38" t="s">
        <v>95</v>
      </c>
      <c r="C103" s="96"/>
      <c r="D103" s="96"/>
      <c r="E103" s="96"/>
      <c r="F103" s="81"/>
      <c r="G103" s="81"/>
      <c r="H103" s="125">
        <v>7</v>
      </c>
      <c r="I103" s="21"/>
      <c r="J103" s="21"/>
      <c r="K103" s="21"/>
      <c r="L103" s="21"/>
      <c r="M103" s="21"/>
      <c r="N103" s="21"/>
      <c r="O103" s="21"/>
      <c r="P103" s="21"/>
      <c r="Q103" s="21"/>
      <c r="R103" s="21"/>
      <c r="S103" s="21"/>
      <c r="T103" s="21"/>
      <c r="U103" s="21"/>
      <c r="V103" s="21"/>
      <c r="W103" s="21"/>
      <c r="X103" s="21"/>
    </row>
    <row r="104" spans="1:24" ht="12.75" customHeight="1" x14ac:dyDescent="0.25">
      <c r="A104" s="23" t="s">
        <v>31</v>
      </c>
      <c r="B104" s="61" t="s">
        <v>103</v>
      </c>
      <c r="C104" s="96"/>
      <c r="D104" s="96"/>
      <c r="E104" s="96"/>
      <c r="F104" s="81"/>
      <c r="G104" s="81"/>
      <c r="H104" s="126">
        <v>0.77</v>
      </c>
      <c r="I104" s="21"/>
      <c r="J104" s="21"/>
      <c r="K104" s="21"/>
      <c r="L104" s="21"/>
      <c r="M104" s="21"/>
      <c r="N104" s="21"/>
      <c r="O104" s="21"/>
      <c r="P104" s="21"/>
      <c r="Q104" s="21"/>
      <c r="R104" s="21"/>
      <c r="S104" s="21"/>
      <c r="T104" s="21"/>
      <c r="U104" s="21"/>
      <c r="V104" s="21"/>
      <c r="W104" s="21"/>
      <c r="X104" s="21"/>
    </row>
    <row r="105" spans="1:24" ht="12.75" customHeight="1" x14ac:dyDescent="0.25">
      <c r="A105" s="23" t="s">
        <v>31</v>
      </c>
      <c r="B105" s="38" t="s">
        <v>102</v>
      </c>
      <c r="C105" s="38"/>
      <c r="D105" s="38"/>
      <c r="E105" s="38"/>
      <c r="F105" s="97" t="s">
        <v>72</v>
      </c>
      <c r="G105" s="38"/>
      <c r="H105" s="21"/>
      <c r="I105" s="21"/>
      <c r="J105" s="21"/>
      <c r="K105" s="21"/>
      <c r="L105" s="21"/>
      <c r="M105" s="21"/>
      <c r="N105" s="21"/>
      <c r="O105" s="21"/>
      <c r="P105" s="21"/>
      <c r="Q105" s="21"/>
      <c r="R105" s="21"/>
      <c r="S105" s="21"/>
      <c r="T105" s="21"/>
      <c r="U105" s="21"/>
      <c r="V105" s="21"/>
      <c r="W105" s="21"/>
      <c r="X105" s="21"/>
    </row>
    <row r="106" spans="1:24" ht="12.75" customHeight="1" x14ac:dyDescent="0.25">
      <c r="A106" s="71"/>
      <c r="B106" s="38"/>
      <c r="C106" s="38"/>
      <c r="D106" s="38"/>
      <c r="E106" s="38"/>
      <c r="F106" s="127">
        <v>7.5700000000000003E-2</v>
      </c>
      <c r="G106" s="38"/>
      <c r="H106" s="87">
        <f>IF(H42=2,((H103*0.746*($I$18/H37*24))/IF(H104="",(0.7+(H103/100)),IF(H104=0,(0.7+(H103/100)),H104))*$F$106)*2,(H103*0.746*($I$18/H37*24))/IF(H104="",(0.7+(H103/100)),IF(H104=0,(0.7+(H103/100)),H104))*$F$106)</f>
        <v>186.0502298181818</v>
      </c>
      <c r="I106" s="21"/>
      <c r="J106" s="21"/>
      <c r="K106" s="21"/>
      <c r="L106" s="21"/>
      <c r="M106" s="21"/>
      <c r="N106" s="21"/>
      <c r="O106" s="21"/>
      <c r="P106" s="21"/>
      <c r="Q106" s="21"/>
      <c r="R106" s="21"/>
      <c r="S106" s="21"/>
      <c r="T106" s="21"/>
      <c r="U106" s="21"/>
      <c r="V106" s="21"/>
      <c r="W106" s="21"/>
      <c r="X106" s="21"/>
    </row>
    <row r="107" spans="1:24" ht="12.75" customHeight="1" x14ac:dyDescent="0.25">
      <c r="A107" s="21"/>
      <c r="B107" s="38"/>
      <c r="C107" s="38"/>
      <c r="D107" s="38"/>
      <c r="E107" s="38"/>
      <c r="F107" s="38"/>
      <c r="G107" s="81"/>
      <c r="H107" s="66"/>
      <c r="I107" s="21"/>
      <c r="J107" s="21"/>
      <c r="K107" s="21"/>
      <c r="L107" s="21"/>
      <c r="M107" s="21"/>
      <c r="N107" s="21"/>
      <c r="O107" s="21"/>
      <c r="P107" s="21"/>
      <c r="Q107" s="21"/>
      <c r="R107" s="21"/>
      <c r="S107" s="21"/>
      <c r="T107" s="21"/>
      <c r="U107" s="21"/>
      <c r="V107" s="21"/>
      <c r="W107" s="21"/>
      <c r="X107" s="21"/>
    </row>
    <row r="108" spans="1:24" ht="12.75" customHeight="1" x14ac:dyDescent="0.25">
      <c r="A108" s="23" t="s">
        <v>31</v>
      </c>
      <c r="B108" s="98" t="s">
        <v>111</v>
      </c>
      <c r="C108" s="38"/>
      <c r="D108" s="38"/>
      <c r="E108" s="38"/>
      <c r="F108" s="38"/>
      <c r="G108" s="38"/>
      <c r="H108" s="66"/>
      <c r="I108" s="21"/>
      <c r="J108" s="21"/>
      <c r="K108" s="21"/>
      <c r="L108" s="21"/>
      <c r="M108" s="21"/>
      <c r="N108" s="21"/>
      <c r="O108" s="21"/>
      <c r="P108" s="21"/>
      <c r="Q108" s="21"/>
      <c r="R108" s="21"/>
      <c r="S108" s="21"/>
      <c r="T108" s="21"/>
      <c r="U108" s="21"/>
      <c r="V108" s="21"/>
      <c r="W108" s="21"/>
      <c r="X108" s="21"/>
    </row>
    <row r="109" spans="1:24" ht="12.75" customHeight="1" x14ac:dyDescent="0.25">
      <c r="A109" s="21"/>
      <c r="B109" s="122" t="s">
        <v>93</v>
      </c>
      <c r="C109" s="122"/>
      <c r="D109" s="122"/>
      <c r="E109" s="122"/>
      <c r="F109" s="128"/>
      <c r="G109" s="38"/>
      <c r="H109" s="120">
        <v>150</v>
      </c>
      <c r="I109" s="21"/>
      <c r="J109" s="21"/>
      <c r="K109" s="21"/>
      <c r="L109" s="21"/>
      <c r="M109" s="21"/>
      <c r="N109" s="21"/>
      <c r="O109" s="21"/>
      <c r="P109" s="21"/>
      <c r="Q109" s="21"/>
      <c r="R109" s="21"/>
      <c r="S109" s="21"/>
      <c r="T109" s="21"/>
      <c r="U109" s="21"/>
      <c r="V109" s="21"/>
      <c r="W109" s="21"/>
      <c r="X109" s="21"/>
    </row>
    <row r="110" spans="1:24" ht="12.75" customHeight="1" x14ac:dyDescent="0.25">
      <c r="A110" s="21"/>
      <c r="B110" s="122" t="s">
        <v>92</v>
      </c>
      <c r="C110" s="122"/>
      <c r="D110" s="122"/>
      <c r="E110" s="122"/>
      <c r="F110" s="128"/>
      <c r="G110" s="38"/>
      <c r="H110" s="120">
        <v>0</v>
      </c>
      <c r="I110" s="21"/>
      <c r="J110" s="21"/>
      <c r="K110" s="21"/>
      <c r="L110" s="21"/>
      <c r="M110" s="21"/>
      <c r="N110" s="21"/>
      <c r="O110" s="21"/>
      <c r="P110" s="21"/>
      <c r="Q110" s="21"/>
      <c r="R110" s="21"/>
      <c r="S110" s="21"/>
      <c r="T110" s="21"/>
      <c r="U110" s="21"/>
      <c r="V110" s="21"/>
      <c r="W110" s="21"/>
      <c r="X110" s="21"/>
    </row>
    <row r="111" spans="1:24" ht="12.75" customHeight="1" x14ac:dyDescent="0.25">
      <c r="A111" s="21"/>
      <c r="B111" s="122" t="s">
        <v>94</v>
      </c>
      <c r="C111" s="129"/>
      <c r="D111" s="129"/>
      <c r="E111" s="129"/>
      <c r="F111" s="129"/>
      <c r="G111" s="99"/>
      <c r="H111" s="120">
        <v>0</v>
      </c>
      <c r="I111" s="21"/>
      <c r="J111" s="21"/>
      <c r="K111" s="21"/>
      <c r="L111" s="21"/>
      <c r="M111" s="21"/>
      <c r="N111" s="21"/>
      <c r="O111" s="21"/>
      <c r="P111" s="21"/>
      <c r="Q111" s="21"/>
      <c r="R111" s="21"/>
      <c r="S111" s="21"/>
      <c r="T111" s="21"/>
      <c r="U111" s="21"/>
      <c r="V111" s="21"/>
      <c r="W111" s="21"/>
      <c r="X111" s="21"/>
    </row>
    <row r="112" spans="1:24" ht="12.75" customHeight="1" x14ac:dyDescent="0.25">
      <c r="A112" s="21"/>
      <c r="B112" s="80"/>
      <c r="C112" s="80"/>
      <c r="D112" s="80"/>
      <c r="E112" s="80"/>
      <c r="F112" s="80"/>
      <c r="G112" s="100" t="s">
        <v>104</v>
      </c>
      <c r="H112" s="101">
        <f>SUM(H106:H111)</f>
        <v>336.05022981818183</v>
      </c>
      <c r="I112" s="21"/>
      <c r="J112" s="21"/>
      <c r="K112" s="21"/>
      <c r="L112" s="21"/>
      <c r="M112" s="21"/>
      <c r="N112" s="21"/>
      <c r="O112" s="21"/>
      <c r="P112" s="21"/>
      <c r="Q112" s="21"/>
      <c r="R112" s="21"/>
      <c r="S112" s="21"/>
      <c r="T112" s="21"/>
      <c r="U112" s="21"/>
      <c r="V112" s="21"/>
      <c r="W112" s="21"/>
      <c r="X112" s="21"/>
    </row>
    <row r="113" spans="1:25" ht="12.75" customHeight="1" x14ac:dyDescent="0.25">
      <c r="A113" s="21"/>
      <c r="B113" s="80"/>
      <c r="C113" s="80"/>
      <c r="D113" s="80"/>
      <c r="E113" s="80"/>
      <c r="F113" s="80"/>
      <c r="G113" s="21"/>
      <c r="H113" s="93"/>
      <c r="I113" s="21"/>
      <c r="J113" s="21"/>
      <c r="K113" s="21"/>
      <c r="L113" s="21"/>
      <c r="M113" s="21"/>
      <c r="N113" s="21"/>
      <c r="O113" s="21"/>
      <c r="P113" s="21"/>
      <c r="Q113" s="21"/>
      <c r="R113" s="21"/>
      <c r="S113" s="21"/>
      <c r="T113" s="21"/>
      <c r="U113" s="21"/>
      <c r="V113" s="21"/>
      <c r="W113" s="21"/>
      <c r="X113" s="21"/>
    </row>
    <row r="114" spans="1:25" ht="12.75" customHeight="1" x14ac:dyDescent="0.25">
      <c r="A114" s="21"/>
      <c r="B114" s="92" t="s">
        <v>62</v>
      </c>
      <c r="C114" s="70"/>
      <c r="D114" s="70"/>
      <c r="E114" s="70"/>
      <c r="F114" s="21"/>
      <c r="G114" s="21"/>
      <c r="H114" s="93">
        <f>H98+H100+H112</f>
        <v>32665.250229818183</v>
      </c>
      <c r="I114" s="21"/>
      <c r="J114" s="93"/>
      <c r="K114" s="93"/>
      <c r="L114" s="21"/>
      <c r="M114" s="21"/>
      <c r="N114" s="21"/>
      <c r="O114" s="21"/>
      <c r="P114" s="21"/>
      <c r="Q114" s="21"/>
      <c r="R114" s="21"/>
      <c r="S114" s="21"/>
      <c r="T114" s="21"/>
      <c r="U114" s="21"/>
      <c r="V114" s="21"/>
      <c r="W114" s="21"/>
      <c r="X114" s="21"/>
    </row>
    <row r="115" spans="1:25" ht="12.75" customHeight="1" x14ac:dyDescent="0.25">
      <c r="A115" s="21"/>
      <c r="B115" s="92"/>
      <c r="C115" s="70"/>
      <c r="D115" s="70"/>
      <c r="E115" s="70"/>
      <c r="F115" s="21"/>
      <c r="G115" s="21"/>
      <c r="H115" s="93"/>
      <c r="I115" s="21"/>
      <c r="J115" s="93"/>
      <c r="K115" s="93"/>
      <c r="L115" s="21"/>
      <c r="M115" s="21"/>
      <c r="N115" s="21"/>
      <c r="O115" s="21"/>
      <c r="P115" s="21"/>
      <c r="Q115" s="21"/>
      <c r="R115" s="21"/>
      <c r="S115" s="21"/>
      <c r="T115" s="21"/>
      <c r="U115" s="21"/>
      <c r="V115" s="21"/>
      <c r="W115" s="21"/>
      <c r="X115" s="21"/>
    </row>
    <row r="116" spans="1:25" ht="12.75" customHeight="1" x14ac:dyDescent="0.25">
      <c r="A116" s="21"/>
      <c r="B116" s="158" t="s">
        <v>161</v>
      </c>
      <c r="C116" s="159"/>
      <c r="D116" s="159"/>
      <c r="E116" s="159"/>
      <c r="F116" s="159"/>
      <c r="G116" s="159"/>
      <c r="H116" s="159"/>
      <c r="I116" s="21"/>
      <c r="J116" s="93"/>
      <c r="K116" s="93"/>
      <c r="L116" s="21"/>
      <c r="M116" s="21"/>
      <c r="N116" s="21"/>
      <c r="O116" s="21"/>
      <c r="P116" s="21"/>
      <c r="Q116" s="21"/>
      <c r="R116" s="21"/>
      <c r="S116" s="21"/>
      <c r="T116" s="21"/>
      <c r="U116" s="21"/>
      <c r="V116" s="21"/>
      <c r="W116" s="21"/>
      <c r="X116" s="21"/>
    </row>
    <row r="117" spans="1:25" ht="12.75" customHeight="1" x14ac:dyDescent="0.25">
      <c r="A117" s="21"/>
      <c r="B117" s="80" t="s">
        <v>176</v>
      </c>
      <c r="C117" s="12"/>
      <c r="D117" s="12"/>
      <c r="E117" s="12"/>
      <c r="F117" s="12"/>
      <c r="G117" s="12"/>
      <c r="H117" s="120">
        <v>0</v>
      </c>
      <c r="I117" s="21"/>
      <c r="J117" s="93"/>
      <c r="K117" s="93"/>
      <c r="L117" s="21"/>
      <c r="M117" s="21"/>
      <c r="N117" s="21"/>
      <c r="O117" s="21"/>
      <c r="P117" s="21"/>
      <c r="Q117" s="21"/>
      <c r="R117" s="21"/>
      <c r="S117" s="21"/>
      <c r="T117" s="21"/>
      <c r="U117" s="21"/>
      <c r="V117" s="21"/>
      <c r="W117" s="21"/>
      <c r="X117" s="21"/>
    </row>
    <row r="118" spans="1:25" ht="12.75" customHeight="1" x14ac:dyDescent="0.25">
      <c r="A118" s="21"/>
      <c r="B118" s="80" t="s">
        <v>163</v>
      </c>
      <c r="C118" s="12"/>
      <c r="D118" s="12"/>
      <c r="E118" s="12"/>
      <c r="F118" s="12"/>
      <c r="G118" s="12"/>
      <c r="H118" s="120">
        <v>0</v>
      </c>
      <c r="I118" s="21"/>
      <c r="J118" s="93"/>
      <c r="K118" s="93"/>
      <c r="L118" s="21"/>
      <c r="M118" s="21"/>
      <c r="N118" s="21"/>
      <c r="O118" s="21"/>
      <c r="P118" s="21"/>
      <c r="Q118" s="21"/>
      <c r="R118" s="21"/>
      <c r="S118" s="21"/>
      <c r="T118" s="21"/>
      <c r="U118" s="21"/>
      <c r="V118" s="21"/>
      <c r="W118" s="21"/>
      <c r="X118" s="21"/>
    </row>
    <row r="119" spans="1:25" ht="12.75" customHeight="1" x14ac:dyDescent="0.25">
      <c r="A119" s="21"/>
      <c r="B119" s="80"/>
      <c r="C119" s="80"/>
      <c r="D119" s="80"/>
      <c r="E119" s="80"/>
      <c r="F119" s="80"/>
      <c r="G119" s="100" t="s">
        <v>162</v>
      </c>
      <c r="H119" s="101">
        <f>+H117+H118</f>
        <v>0</v>
      </c>
      <c r="I119" s="21"/>
      <c r="J119" s="21"/>
      <c r="K119" s="21"/>
      <c r="L119" s="21"/>
      <c r="M119" s="21"/>
      <c r="N119" s="21"/>
      <c r="O119" s="21"/>
      <c r="P119" s="21"/>
      <c r="Q119" s="21"/>
      <c r="R119" s="21"/>
      <c r="S119" s="21"/>
      <c r="T119" s="21"/>
      <c r="U119" s="21"/>
      <c r="V119" s="21"/>
      <c r="W119" s="21"/>
      <c r="X119" s="21"/>
    </row>
    <row r="120" spans="1:25" ht="12.75" customHeight="1" x14ac:dyDescent="0.25">
      <c r="A120" s="21"/>
      <c r="B120" s="70"/>
      <c r="C120" s="70"/>
      <c r="D120" s="70"/>
      <c r="E120" s="70"/>
      <c r="F120" s="21"/>
      <c r="G120" s="21"/>
      <c r="H120" s="21"/>
      <c r="I120" s="21"/>
      <c r="J120" s="21"/>
      <c r="K120" s="21"/>
      <c r="L120" s="21"/>
      <c r="M120" s="21"/>
      <c r="N120" s="21"/>
      <c r="O120" s="21"/>
      <c r="P120" s="21"/>
      <c r="Q120" s="21"/>
      <c r="R120" s="21"/>
      <c r="S120" s="21"/>
      <c r="T120" s="21"/>
      <c r="U120" s="21"/>
      <c r="V120" s="21"/>
      <c r="W120" s="21"/>
      <c r="X120" s="21"/>
      <c r="Y120" s="21"/>
    </row>
    <row r="121" spans="1:25" x14ac:dyDescent="0.25">
      <c r="A121" s="21"/>
      <c r="B121" s="158" t="s">
        <v>154</v>
      </c>
      <c r="C121" s="158"/>
      <c r="D121" s="158"/>
      <c r="E121" s="158"/>
      <c r="F121" s="158"/>
      <c r="G121" s="158"/>
      <c r="H121" s="158"/>
      <c r="I121" s="21"/>
      <c r="J121" s="21"/>
      <c r="K121" s="21"/>
      <c r="L121" s="21"/>
      <c r="M121" s="21"/>
      <c r="N121" s="21"/>
      <c r="O121" s="21"/>
      <c r="P121" s="21"/>
      <c r="Q121" s="21"/>
      <c r="R121" s="21"/>
      <c r="S121" s="21"/>
      <c r="T121" s="21"/>
      <c r="U121" s="21"/>
      <c r="V121" s="21"/>
      <c r="W121" s="21"/>
    </row>
    <row r="122" spans="1:25" ht="12.75" customHeight="1" x14ac:dyDescent="0.25">
      <c r="A122" s="21"/>
      <c r="B122" s="96"/>
      <c r="C122" s="96"/>
      <c r="D122" s="96"/>
      <c r="E122" s="96"/>
      <c r="F122" s="96"/>
      <c r="G122" s="96"/>
      <c r="H122" s="38"/>
      <c r="I122" s="38"/>
      <c r="J122" s="21"/>
      <c r="K122" s="21"/>
      <c r="L122" s="21"/>
      <c r="M122" s="21"/>
      <c r="N122" s="21"/>
      <c r="O122" s="21"/>
      <c r="P122" s="21"/>
      <c r="Q122" s="21"/>
      <c r="R122" s="21"/>
      <c r="S122" s="21"/>
      <c r="T122" s="21"/>
      <c r="U122" s="21"/>
      <c r="V122" s="21"/>
      <c r="W122" s="21"/>
      <c r="X122" s="21"/>
      <c r="Y122" s="21"/>
    </row>
    <row r="123" spans="1:25" ht="12.75" customHeight="1" x14ac:dyDescent="0.25">
      <c r="A123" s="21"/>
      <c r="B123" s="102" t="s">
        <v>75</v>
      </c>
      <c r="C123" s="62"/>
      <c r="D123" s="62"/>
      <c r="E123" s="62"/>
      <c r="F123" s="62"/>
      <c r="G123" s="62"/>
      <c r="H123" s="38"/>
      <c r="I123" s="38"/>
      <c r="J123" s="21"/>
      <c r="K123" s="21"/>
      <c r="L123" s="21"/>
      <c r="M123" s="21"/>
      <c r="N123" s="21"/>
      <c r="O123" s="21"/>
      <c r="P123" s="21"/>
      <c r="Q123" s="21"/>
      <c r="R123" s="21"/>
      <c r="S123" s="21"/>
      <c r="T123" s="21"/>
      <c r="U123" s="21"/>
      <c r="V123" s="21"/>
      <c r="W123" s="21"/>
      <c r="X123" s="21"/>
      <c r="Y123" s="21"/>
    </row>
    <row r="124" spans="1:25" ht="12.75" customHeight="1" x14ac:dyDescent="0.25">
      <c r="A124" s="21"/>
      <c r="B124" s="65" t="s">
        <v>150</v>
      </c>
      <c r="C124" s="96"/>
      <c r="D124" s="96"/>
      <c r="E124" s="96"/>
      <c r="F124" s="96"/>
      <c r="G124" s="96"/>
      <c r="H124" s="41">
        <f>I17/2000</f>
        <v>75.5</v>
      </c>
      <c r="I124" s="21"/>
      <c r="J124" s="21"/>
      <c r="K124" s="21"/>
      <c r="L124" s="21"/>
      <c r="M124" s="21"/>
      <c r="N124" s="21"/>
      <c r="O124" s="21"/>
      <c r="P124" s="21"/>
      <c r="Q124" s="21"/>
      <c r="R124" s="21"/>
      <c r="S124" s="21"/>
      <c r="T124" s="21"/>
      <c r="U124" s="21"/>
      <c r="V124" s="21"/>
      <c r="W124" s="21"/>
      <c r="X124" s="21"/>
    </row>
    <row r="125" spans="1:25" ht="12.75" customHeight="1" x14ac:dyDescent="0.25">
      <c r="A125" s="21"/>
      <c r="B125" s="65" t="s">
        <v>73</v>
      </c>
      <c r="C125" s="96"/>
      <c r="D125" s="96"/>
      <c r="E125" s="96"/>
      <c r="F125" s="96"/>
      <c r="G125" s="96"/>
      <c r="H125" s="41">
        <f>H51</f>
        <v>53.827249999999992</v>
      </c>
      <c r="I125" s="21"/>
      <c r="J125" s="21"/>
      <c r="K125" s="21"/>
      <c r="L125" s="21"/>
      <c r="M125" s="21"/>
      <c r="N125" s="21"/>
      <c r="O125" s="21"/>
      <c r="P125" s="21"/>
      <c r="Q125" s="21"/>
      <c r="R125" s="21"/>
      <c r="S125" s="21"/>
      <c r="T125" s="21"/>
      <c r="U125" s="21"/>
      <c r="V125" s="21"/>
      <c r="W125" s="21"/>
      <c r="X125" s="21"/>
    </row>
    <row r="126" spans="1:25" ht="12.75" customHeight="1" x14ac:dyDescent="0.25">
      <c r="A126" s="21"/>
      <c r="B126" s="65" t="s">
        <v>74</v>
      </c>
      <c r="C126" s="96"/>
      <c r="D126" s="96"/>
      <c r="E126" s="96"/>
      <c r="F126" s="96"/>
      <c r="G126" s="96"/>
      <c r="H126" s="55">
        <f>+H48</f>
        <v>4772.7333333333336</v>
      </c>
      <c r="I126" s="21"/>
      <c r="J126" s="21"/>
      <c r="K126" s="21"/>
      <c r="L126" s="21"/>
      <c r="M126" s="21"/>
      <c r="N126" s="21"/>
      <c r="O126" s="21"/>
      <c r="P126" s="21"/>
      <c r="Q126" s="21"/>
      <c r="R126" s="21"/>
      <c r="S126" s="21"/>
      <c r="T126" s="21"/>
      <c r="U126" s="21"/>
      <c r="V126" s="21"/>
      <c r="W126" s="21"/>
      <c r="X126" s="21"/>
    </row>
    <row r="127" spans="1:25" ht="12.75" customHeight="1" x14ac:dyDescent="0.25">
      <c r="A127" s="21"/>
      <c r="B127" s="96"/>
      <c r="C127" s="96"/>
      <c r="D127" s="96"/>
      <c r="E127" s="96"/>
      <c r="F127" s="96"/>
      <c r="G127" s="96"/>
      <c r="H127" s="38"/>
      <c r="I127" s="21"/>
      <c r="J127" s="21"/>
      <c r="K127" s="21"/>
      <c r="L127" s="21"/>
      <c r="M127" s="21"/>
      <c r="N127" s="21"/>
      <c r="O127" s="21"/>
      <c r="P127" s="21"/>
      <c r="Q127" s="21"/>
      <c r="R127" s="21"/>
      <c r="S127" s="21"/>
      <c r="T127" s="21"/>
      <c r="U127" s="21"/>
      <c r="V127" s="21"/>
      <c r="W127" s="21"/>
      <c r="X127" s="21"/>
    </row>
    <row r="128" spans="1:25" ht="12.75" customHeight="1" x14ac:dyDescent="0.25">
      <c r="A128" s="21"/>
      <c r="B128" s="103" t="s">
        <v>20</v>
      </c>
      <c r="C128" s="104"/>
      <c r="D128" s="104"/>
      <c r="E128" s="104"/>
      <c r="F128" s="104"/>
      <c r="G128" s="104"/>
      <c r="H128" s="65"/>
      <c r="I128" s="21"/>
      <c r="J128" s="21"/>
      <c r="K128" s="21"/>
      <c r="L128" s="21"/>
      <c r="M128" s="21"/>
      <c r="N128" s="21"/>
      <c r="O128" s="21"/>
      <c r="P128" s="21"/>
      <c r="Q128" s="21"/>
      <c r="R128" s="21"/>
      <c r="S128" s="21"/>
      <c r="T128" s="21"/>
      <c r="U128" s="21"/>
      <c r="V128" s="21"/>
      <c r="W128" s="21"/>
      <c r="X128" s="21"/>
    </row>
    <row r="129" spans="1:24" ht="12.75" customHeight="1" x14ac:dyDescent="0.25">
      <c r="A129" s="21"/>
      <c r="B129" s="65" t="s">
        <v>147</v>
      </c>
      <c r="C129" s="65"/>
      <c r="D129" s="65"/>
      <c r="E129" s="65"/>
      <c r="F129" s="65"/>
      <c r="G129" s="65"/>
      <c r="H129" s="105">
        <f>H91+H90+H88+H85</f>
        <v>1927.1428571428571</v>
      </c>
      <c r="I129" s="21"/>
      <c r="J129" s="21"/>
      <c r="K129" s="21"/>
      <c r="L129" s="21"/>
      <c r="M129" s="21"/>
      <c r="N129" s="21"/>
      <c r="O129" s="21"/>
      <c r="P129" s="21"/>
      <c r="Q129" s="21"/>
      <c r="R129" s="21"/>
      <c r="S129" s="21"/>
      <c r="T129" s="21"/>
      <c r="U129" s="21"/>
      <c r="V129" s="21"/>
      <c r="W129" s="21"/>
      <c r="X129" s="21"/>
    </row>
    <row r="130" spans="1:24" ht="12.75" customHeight="1" x14ac:dyDescent="0.25">
      <c r="A130" s="21"/>
      <c r="B130" s="70"/>
      <c r="C130" s="70"/>
      <c r="D130" s="70"/>
      <c r="E130" s="70"/>
      <c r="F130" s="38"/>
      <c r="G130" s="38"/>
      <c r="H130" s="100"/>
      <c r="I130" s="38"/>
      <c r="J130" s="21"/>
      <c r="K130" s="21"/>
      <c r="L130" s="21"/>
      <c r="M130" s="21"/>
      <c r="N130" s="21"/>
      <c r="O130" s="21"/>
      <c r="P130" s="21"/>
      <c r="Q130" s="21"/>
      <c r="R130" s="21"/>
      <c r="S130" s="21"/>
      <c r="T130" s="21"/>
      <c r="U130" s="21"/>
      <c r="V130" s="21"/>
      <c r="W130" s="21"/>
      <c r="X130" s="21"/>
    </row>
    <row r="131" spans="1:24" ht="12.75" customHeight="1" x14ac:dyDescent="0.25">
      <c r="A131" s="21"/>
      <c r="B131" s="103" t="s">
        <v>4</v>
      </c>
      <c r="C131" s="104"/>
      <c r="D131" s="104"/>
      <c r="E131" s="104"/>
      <c r="F131" s="104"/>
      <c r="G131" s="104"/>
      <c r="H131" s="100"/>
      <c r="I131" s="38"/>
      <c r="J131" s="21"/>
      <c r="K131" s="21"/>
      <c r="L131" s="21"/>
      <c r="M131" s="21"/>
      <c r="N131" s="21"/>
      <c r="O131" s="21"/>
      <c r="P131" s="21"/>
      <c r="Q131" s="21"/>
      <c r="R131" s="21"/>
      <c r="S131" s="21"/>
      <c r="T131" s="21"/>
      <c r="U131" s="21"/>
      <c r="V131" s="21"/>
      <c r="W131" s="21"/>
      <c r="X131" s="21"/>
    </row>
    <row r="132" spans="1:24" ht="12.75" customHeight="1" x14ac:dyDescent="0.25">
      <c r="A132" s="21"/>
      <c r="B132" s="107" t="s">
        <v>141</v>
      </c>
      <c r="C132" s="108"/>
      <c r="D132" s="108"/>
      <c r="E132" s="108"/>
      <c r="F132" s="108"/>
      <c r="G132" s="108"/>
      <c r="H132" s="105">
        <f>+E32</f>
        <v>22950</v>
      </c>
      <c r="I132" s="38"/>
      <c r="J132" s="21"/>
      <c r="K132" s="21"/>
      <c r="L132" s="21"/>
      <c r="M132" s="21"/>
      <c r="N132" s="21"/>
      <c r="O132" s="21"/>
      <c r="P132" s="21"/>
      <c r="Q132" s="21"/>
      <c r="R132" s="21"/>
      <c r="S132" s="21"/>
      <c r="T132" s="21"/>
      <c r="U132" s="21"/>
      <c r="V132" s="21"/>
      <c r="W132" s="21"/>
      <c r="X132" s="21"/>
    </row>
    <row r="133" spans="1:24" ht="12.75" customHeight="1" x14ac:dyDescent="0.25">
      <c r="A133" s="21"/>
      <c r="B133" s="107" t="s">
        <v>140</v>
      </c>
      <c r="C133" s="21"/>
      <c r="D133" s="21"/>
      <c r="E133" s="21"/>
      <c r="F133" s="21"/>
      <c r="G133" s="21"/>
      <c r="H133" s="105">
        <f>+F32</f>
        <v>3600</v>
      </c>
      <c r="I133" s="21"/>
      <c r="J133" s="21"/>
      <c r="K133" s="21"/>
      <c r="L133" s="21"/>
      <c r="M133" s="21"/>
      <c r="N133" s="21"/>
      <c r="O133" s="21"/>
      <c r="P133" s="21"/>
      <c r="Q133" s="21"/>
      <c r="R133" s="21"/>
      <c r="S133" s="21"/>
      <c r="T133" s="21"/>
      <c r="U133" s="21"/>
      <c r="V133" s="21"/>
      <c r="W133" s="21"/>
      <c r="X133" s="21"/>
    </row>
    <row r="134" spans="1:24" ht="12.75" customHeight="1" x14ac:dyDescent="0.25">
      <c r="A134" s="21"/>
      <c r="B134" s="107" t="s">
        <v>139</v>
      </c>
      <c r="C134" s="21"/>
      <c r="D134" s="21"/>
      <c r="E134" s="21"/>
      <c r="F134" s="21"/>
      <c r="G134" s="21"/>
      <c r="H134" s="146">
        <f>IF($G$34&gt;$F$33,$G$34-$F$33,0)</f>
        <v>2880</v>
      </c>
      <c r="I134" s="21"/>
      <c r="J134" s="21"/>
      <c r="K134" s="21"/>
      <c r="L134" s="21"/>
      <c r="M134" s="21"/>
      <c r="N134" s="21"/>
      <c r="O134" s="21"/>
      <c r="P134" s="21"/>
      <c r="Q134" s="21"/>
      <c r="R134" s="21"/>
      <c r="S134" s="21"/>
      <c r="T134" s="21"/>
      <c r="U134" s="21"/>
      <c r="V134" s="21"/>
      <c r="W134" s="21"/>
      <c r="X134" s="21"/>
    </row>
    <row r="135" spans="1:24" ht="12.75" customHeight="1" x14ac:dyDescent="0.25">
      <c r="A135" s="21"/>
      <c r="B135" s="65" t="s">
        <v>59</v>
      </c>
      <c r="C135" s="65"/>
      <c r="D135" s="65"/>
      <c r="E135" s="65"/>
      <c r="F135" s="65"/>
      <c r="G135" s="65"/>
      <c r="H135" s="87">
        <f>+H133+H132+H134</f>
        <v>29430</v>
      </c>
      <c r="I135" s="21"/>
      <c r="J135" s="21"/>
      <c r="K135" s="21"/>
      <c r="L135" s="21"/>
      <c r="M135" s="21"/>
      <c r="N135" s="21"/>
      <c r="O135" s="21"/>
      <c r="P135" s="21"/>
      <c r="Q135" s="21"/>
      <c r="R135" s="21"/>
      <c r="S135" s="21"/>
      <c r="T135" s="21"/>
      <c r="U135" s="21"/>
      <c r="V135" s="21"/>
      <c r="W135" s="21"/>
      <c r="X135" s="21"/>
    </row>
    <row r="136" spans="1:24" ht="12.75" customHeight="1" thickBot="1" x14ac:dyDescent="0.3">
      <c r="A136" s="21"/>
      <c r="B136" s="65" t="s">
        <v>64</v>
      </c>
      <c r="C136" s="65"/>
      <c r="D136" s="65"/>
      <c r="E136" s="65"/>
      <c r="F136" s="65"/>
      <c r="G136" s="65"/>
      <c r="H136" s="109">
        <f>H98+H112</f>
        <v>3235.2502298181817</v>
      </c>
      <c r="I136" s="21"/>
      <c r="J136" s="21"/>
      <c r="K136" s="21"/>
      <c r="L136" s="21"/>
      <c r="M136" s="21"/>
      <c r="N136" s="21"/>
      <c r="O136" s="21"/>
      <c r="P136" s="21"/>
      <c r="Q136" s="21"/>
      <c r="R136" s="21"/>
      <c r="S136" s="21"/>
      <c r="T136" s="21"/>
      <c r="U136" s="21"/>
      <c r="V136" s="21"/>
      <c r="W136" s="21"/>
      <c r="X136" s="21"/>
    </row>
    <row r="137" spans="1:24" ht="12.75" customHeight="1" thickTop="1" x14ac:dyDescent="0.25">
      <c r="A137" s="21"/>
      <c r="B137" s="65"/>
      <c r="C137" s="65"/>
      <c r="D137" s="65"/>
      <c r="E137" s="65"/>
      <c r="F137" s="65"/>
      <c r="G137" s="100" t="s">
        <v>160</v>
      </c>
      <c r="H137" s="94">
        <f>SUM(H135:H136)</f>
        <v>32665.250229818183</v>
      </c>
      <c r="I137" s="21"/>
      <c r="J137" s="21"/>
      <c r="K137" s="21"/>
      <c r="L137" s="21"/>
      <c r="M137" s="21"/>
      <c r="N137" s="21"/>
      <c r="O137" s="21"/>
      <c r="P137" s="21"/>
      <c r="Q137" s="21"/>
      <c r="R137" s="21"/>
      <c r="S137" s="21"/>
      <c r="T137" s="21"/>
      <c r="U137" s="21"/>
      <c r="V137" s="21"/>
      <c r="W137" s="21"/>
      <c r="X137" s="21"/>
    </row>
    <row r="138" spans="1:24" ht="12.75" customHeight="1"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row>
    <row r="139" spans="1:24" ht="12.75" customHeight="1" x14ac:dyDescent="0.25">
      <c r="A139" s="21"/>
      <c r="B139" s="103" t="s">
        <v>76</v>
      </c>
      <c r="C139" s="104"/>
      <c r="D139" s="104"/>
      <c r="E139" s="104"/>
      <c r="F139" s="104"/>
      <c r="G139" s="104"/>
      <c r="H139" s="21"/>
      <c r="I139" s="21"/>
      <c r="J139" s="21"/>
      <c r="K139" s="21"/>
      <c r="L139" s="21"/>
      <c r="M139" s="21"/>
      <c r="N139" s="21"/>
      <c r="O139" s="21"/>
      <c r="P139" s="21"/>
      <c r="Q139" s="21"/>
      <c r="R139" s="21"/>
      <c r="S139" s="21"/>
      <c r="T139" s="21"/>
      <c r="U139" s="21"/>
      <c r="V139" s="21"/>
      <c r="W139" s="21"/>
      <c r="X139" s="21"/>
    </row>
    <row r="140" spans="1:24" ht="12.75" customHeight="1" x14ac:dyDescent="0.25">
      <c r="A140" s="21"/>
      <c r="B140" s="110" t="s">
        <v>77</v>
      </c>
      <c r="C140" s="108"/>
      <c r="D140" s="108"/>
      <c r="E140" s="108"/>
      <c r="F140" s="108"/>
      <c r="G140" s="108"/>
      <c r="H140" s="93">
        <f>H129+H137</f>
        <v>34592.393086961041</v>
      </c>
      <c r="I140" s="21"/>
      <c r="J140" s="21"/>
      <c r="K140" s="21"/>
      <c r="L140" s="21"/>
      <c r="M140" s="21"/>
      <c r="N140" s="21"/>
      <c r="O140" s="21"/>
      <c r="P140" s="21"/>
      <c r="Q140" s="21"/>
      <c r="R140" s="21"/>
      <c r="S140" s="21"/>
      <c r="T140" s="21"/>
      <c r="U140" s="21"/>
      <c r="V140" s="21"/>
      <c r="W140" s="21"/>
      <c r="X140" s="21"/>
    </row>
    <row r="141" spans="1:24" ht="12.75" customHeight="1"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row>
    <row r="142" spans="1:24" ht="12.75" customHeight="1" x14ac:dyDescent="0.25">
      <c r="A142" s="21"/>
      <c r="B142" s="103" t="s">
        <v>78</v>
      </c>
      <c r="C142" s="104"/>
      <c r="D142" s="104"/>
      <c r="E142" s="104"/>
      <c r="F142" s="104"/>
      <c r="G142" s="104"/>
      <c r="H142" s="106"/>
      <c r="I142" s="38"/>
      <c r="J142" s="21"/>
      <c r="K142" s="21"/>
      <c r="L142" s="21"/>
      <c r="M142" s="21"/>
      <c r="N142" s="21"/>
      <c r="O142" s="21"/>
      <c r="P142" s="21"/>
      <c r="Q142" s="21"/>
      <c r="R142" s="21"/>
      <c r="S142" s="21"/>
      <c r="T142" s="21"/>
      <c r="U142" s="21"/>
      <c r="V142" s="21"/>
      <c r="W142" s="21"/>
      <c r="X142" s="21"/>
    </row>
    <row r="143" spans="1:24" ht="12.75" customHeight="1" x14ac:dyDescent="0.25">
      <c r="A143" s="21"/>
      <c r="B143" s="107" t="s">
        <v>145</v>
      </c>
      <c r="C143" s="108"/>
      <c r="D143" s="108"/>
      <c r="E143" s="108"/>
      <c r="F143" s="108"/>
      <c r="G143" s="108"/>
      <c r="H143" s="94">
        <f>+H51*H58*H54</f>
        <v>16686.447499999998</v>
      </c>
      <c r="I143" s="38"/>
      <c r="J143" s="21"/>
      <c r="K143" s="21"/>
      <c r="L143" s="21"/>
      <c r="M143" s="21"/>
      <c r="N143" s="21"/>
      <c r="O143" s="21"/>
      <c r="P143" s="21"/>
      <c r="Q143" s="21"/>
      <c r="R143" s="21"/>
      <c r="S143" s="21"/>
      <c r="T143" s="21"/>
      <c r="U143" s="21"/>
      <c r="V143" s="21"/>
      <c r="W143" s="21"/>
      <c r="X143" s="21"/>
    </row>
    <row r="144" spans="1:24" ht="12.75" customHeight="1" thickBot="1" x14ac:dyDescent="0.3">
      <c r="A144" s="21"/>
      <c r="B144" s="107" t="s">
        <v>146</v>
      </c>
      <c r="C144" s="108"/>
      <c r="D144" s="108"/>
      <c r="E144" s="108"/>
      <c r="F144" s="108"/>
      <c r="G144" s="108"/>
      <c r="H144" s="109">
        <f>+H51*(1-H54)*H56</f>
        <v>0</v>
      </c>
      <c r="I144" s="38"/>
      <c r="J144" s="21"/>
      <c r="K144" s="21"/>
      <c r="L144" s="21"/>
      <c r="M144" s="21"/>
      <c r="N144" s="21"/>
      <c r="O144" s="21"/>
      <c r="P144" s="21"/>
      <c r="Q144" s="21"/>
      <c r="R144" s="21"/>
      <c r="S144" s="21"/>
      <c r="T144" s="21"/>
      <c r="U144" s="21"/>
      <c r="V144" s="21"/>
      <c r="W144" s="21"/>
      <c r="X144" s="21"/>
    </row>
    <row r="145" spans="1:25" ht="12.75" customHeight="1" thickTop="1" x14ac:dyDescent="0.25">
      <c r="A145" s="21"/>
      <c r="B145" s="65" t="s">
        <v>115</v>
      </c>
      <c r="C145" s="65"/>
      <c r="D145" s="65"/>
      <c r="E145" s="65"/>
      <c r="F145" s="65"/>
      <c r="G145" s="65"/>
      <c r="H145" s="94">
        <f>+H143+H144</f>
        <v>16686.447499999998</v>
      </c>
      <c r="I145" s="21"/>
      <c r="J145" s="21"/>
      <c r="K145" s="21"/>
      <c r="L145" s="21"/>
      <c r="M145" s="21"/>
      <c r="N145" s="21"/>
      <c r="O145" s="21"/>
      <c r="P145" s="21"/>
      <c r="Q145" s="21"/>
      <c r="R145" s="21"/>
      <c r="S145" s="21"/>
      <c r="T145" s="21"/>
      <c r="U145" s="21"/>
      <c r="V145" s="21"/>
      <c r="W145" s="21"/>
      <c r="X145" s="21"/>
    </row>
    <row r="146" spans="1:25" ht="12.75" customHeight="1" x14ac:dyDescent="0.25">
      <c r="A146" s="21"/>
      <c r="B146" s="65" t="s">
        <v>142</v>
      </c>
      <c r="C146" s="65"/>
      <c r="D146" s="65"/>
      <c r="E146" s="65"/>
      <c r="F146" s="65"/>
      <c r="G146" s="65"/>
      <c r="H146" s="94">
        <f>H145/H125</f>
        <v>310</v>
      </c>
      <c r="I146" s="21"/>
      <c r="J146" s="21"/>
      <c r="K146" s="21"/>
      <c r="L146" s="21"/>
      <c r="M146" s="21"/>
      <c r="N146" s="21"/>
      <c r="O146" s="21"/>
      <c r="P146" s="21"/>
      <c r="Q146" s="21"/>
      <c r="R146" s="21"/>
      <c r="S146" s="21"/>
      <c r="T146" s="21"/>
      <c r="U146" s="21"/>
      <c r="V146" s="21"/>
      <c r="W146" s="21"/>
      <c r="X146" s="21"/>
    </row>
    <row r="147" spans="1:25" ht="12.75" customHeight="1" x14ac:dyDescent="0.25">
      <c r="A147" s="21"/>
      <c r="B147" s="65"/>
      <c r="C147" s="65"/>
      <c r="D147" s="65"/>
      <c r="E147" s="65"/>
      <c r="F147" s="65"/>
      <c r="G147" s="65"/>
      <c r="H147" s="106"/>
      <c r="I147" s="21"/>
      <c r="J147" s="21"/>
      <c r="K147" s="21"/>
      <c r="L147" s="21"/>
      <c r="M147" s="21"/>
      <c r="N147" s="21"/>
      <c r="O147" s="21"/>
      <c r="P147" s="21"/>
      <c r="Q147" s="21"/>
      <c r="R147" s="21"/>
      <c r="S147" s="21"/>
      <c r="T147" s="21"/>
      <c r="U147" s="21"/>
      <c r="V147" s="21"/>
      <c r="W147" s="21"/>
      <c r="X147" s="21"/>
    </row>
    <row r="148" spans="1:25" ht="12.75" customHeight="1" x14ac:dyDescent="0.25">
      <c r="A148" s="21"/>
      <c r="B148" s="70" t="s">
        <v>164</v>
      </c>
      <c r="C148" s="65"/>
      <c r="D148" s="65"/>
      <c r="E148" s="65"/>
      <c r="F148" s="65"/>
      <c r="G148" s="65"/>
      <c r="H148" s="94">
        <f>+H119</f>
        <v>0</v>
      </c>
      <c r="I148" s="21"/>
      <c r="J148" s="21"/>
      <c r="K148" s="21"/>
      <c r="L148" s="21"/>
      <c r="M148" s="21"/>
      <c r="N148" s="21"/>
      <c r="O148" s="21"/>
      <c r="P148" s="21"/>
      <c r="Q148" s="21"/>
      <c r="R148" s="21"/>
      <c r="S148" s="21"/>
      <c r="T148" s="21"/>
      <c r="U148" s="21"/>
      <c r="V148" s="21"/>
      <c r="W148" s="21"/>
      <c r="X148" s="21"/>
    </row>
    <row r="149" spans="1:25" ht="12.75" customHeight="1" x14ac:dyDescent="0.25">
      <c r="A149" s="21"/>
      <c r="B149" s="38"/>
      <c r="C149" s="38"/>
      <c r="D149" s="38"/>
      <c r="E149" s="38"/>
      <c r="F149" s="38"/>
      <c r="G149" s="38"/>
      <c r="H149" s="86"/>
      <c r="I149" s="38"/>
      <c r="J149" s="21"/>
      <c r="K149" s="21"/>
      <c r="L149" s="21"/>
      <c r="M149" s="21"/>
      <c r="N149" s="21"/>
      <c r="O149" s="21"/>
      <c r="P149" s="21"/>
      <c r="Q149" s="21"/>
      <c r="R149" s="21"/>
      <c r="S149" s="21"/>
      <c r="T149" s="21"/>
      <c r="U149" s="21"/>
      <c r="V149" s="21"/>
      <c r="W149" s="21"/>
      <c r="X149" s="21"/>
    </row>
    <row r="150" spans="1:25" ht="12.75" customHeight="1" x14ac:dyDescent="0.25">
      <c r="A150" s="21"/>
      <c r="B150" s="107" t="s">
        <v>169</v>
      </c>
      <c r="C150" s="108"/>
      <c r="D150" s="108"/>
      <c r="E150" s="108"/>
      <c r="F150" s="108"/>
      <c r="G150" s="108"/>
      <c r="H150" s="94">
        <f>+H48*H65*H61</f>
        <v>17897.75</v>
      </c>
      <c r="I150" s="21"/>
      <c r="J150" s="21"/>
      <c r="K150" s="21"/>
      <c r="L150" s="21"/>
      <c r="M150" s="21"/>
      <c r="N150" s="21"/>
      <c r="O150" s="21"/>
      <c r="P150" s="21"/>
      <c r="Q150" s="21"/>
      <c r="R150" s="21"/>
      <c r="S150" s="21"/>
      <c r="T150" s="21"/>
      <c r="U150" s="21"/>
      <c r="V150" s="21"/>
      <c r="W150" s="21"/>
      <c r="X150" s="21"/>
      <c r="Y150" s="21"/>
    </row>
    <row r="151" spans="1:25" ht="12.75" customHeight="1" thickBot="1" x14ac:dyDescent="0.3">
      <c r="A151" s="21"/>
      <c r="B151" s="107" t="s">
        <v>170</v>
      </c>
      <c r="C151" s="108"/>
      <c r="D151" s="108"/>
      <c r="E151" s="108"/>
      <c r="F151" s="108"/>
      <c r="G151" s="108"/>
      <c r="H151" s="109">
        <f>+H48*(1-H61)*H63</f>
        <v>0</v>
      </c>
      <c r="I151" s="21"/>
      <c r="J151" s="21"/>
      <c r="K151" s="21"/>
      <c r="L151" s="21"/>
      <c r="M151" s="21"/>
      <c r="N151" s="21"/>
      <c r="O151" s="21"/>
      <c r="P151" s="21"/>
      <c r="Q151" s="21"/>
      <c r="R151" s="21"/>
      <c r="S151" s="21"/>
      <c r="T151" s="21"/>
      <c r="U151" s="21"/>
      <c r="V151" s="21"/>
      <c r="W151" s="21"/>
      <c r="X151" s="21"/>
      <c r="Y151" s="21"/>
    </row>
    <row r="152" spans="1:25" ht="12.75" customHeight="1" thickTop="1" x14ac:dyDescent="0.25">
      <c r="A152" s="21"/>
      <c r="B152" s="65" t="s">
        <v>171</v>
      </c>
      <c r="C152" s="65"/>
      <c r="D152" s="65"/>
      <c r="E152" s="65"/>
      <c r="F152" s="65"/>
      <c r="G152" s="65"/>
      <c r="H152" s="94">
        <f>+H150+H151</f>
        <v>17897.75</v>
      </c>
      <c r="I152" s="21"/>
      <c r="J152" s="21"/>
      <c r="K152" s="21"/>
      <c r="L152" s="21"/>
      <c r="M152" s="21"/>
      <c r="N152" s="21"/>
      <c r="O152" s="21"/>
      <c r="P152" s="21"/>
      <c r="Q152" s="21"/>
      <c r="R152" s="21"/>
      <c r="S152" s="21"/>
      <c r="T152" s="21"/>
      <c r="U152" s="21"/>
      <c r="V152" s="21"/>
      <c r="W152" s="21"/>
      <c r="X152" s="21"/>
      <c r="Y152" s="21"/>
    </row>
    <row r="153" spans="1:25" ht="12.75" customHeight="1" x14ac:dyDescent="0.25">
      <c r="A153" s="21"/>
      <c r="B153" s="65" t="s">
        <v>172</v>
      </c>
      <c r="C153" s="65"/>
      <c r="D153" s="65"/>
      <c r="E153" s="65"/>
      <c r="F153" s="65"/>
      <c r="G153" s="65"/>
      <c r="H153" s="106">
        <f>H152/H126</f>
        <v>3.75</v>
      </c>
      <c r="I153" s="21"/>
      <c r="J153" s="21"/>
      <c r="K153" s="21"/>
      <c r="L153" s="21"/>
      <c r="M153" s="21"/>
      <c r="N153" s="21"/>
      <c r="O153" s="21"/>
      <c r="P153" s="21"/>
      <c r="Q153" s="21"/>
      <c r="R153" s="21"/>
      <c r="S153" s="21"/>
      <c r="T153" s="21"/>
      <c r="U153" s="21"/>
      <c r="V153" s="21"/>
      <c r="W153" s="21"/>
      <c r="X153" s="21"/>
      <c r="Y153" s="21"/>
    </row>
    <row r="154" spans="1:25" ht="12.75" customHeight="1"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row>
    <row r="155" spans="1:25" ht="12.75" customHeight="1"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5" ht="12.75" customHeight="1"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row>
    <row r="157" spans="1:25" ht="12.75" customHeight="1"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row>
    <row r="158" spans="1:25" ht="12.75" customHeight="1"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row>
    <row r="159" spans="1:25" ht="12.75" customHeight="1"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row>
    <row r="160" spans="1:25" ht="12.75" customHeight="1"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row>
    <row r="161" spans="1:25" ht="12.75" customHeight="1"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row>
    <row r="162" spans="1:25" ht="12.75" customHeight="1"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row>
    <row r="163" spans="1:25" ht="12.75" customHeight="1"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row>
    <row r="164" spans="1:25" ht="12.75" customHeight="1"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row>
    <row r="165" spans="1:25" ht="12.75" customHeight="1"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row>
    <row r="166" spans="1:25" ht="12.75" customHeight="1"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row>
    <row r="167" spans="1:25" ht="12.75" customHeight="1"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row>
    <row r="168" spans="1:25" ht="12.75" customHeight="1"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row>
    <row r="169" spans="1:25" ht="12.75" customHeight="1"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row>
    <row r="170" spans="1:25" ht="12.75" customHeight="1"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row>
    <row r="171" spans="1:25" ht="12.75" customHeight="1"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row>
    <row r="172" spans="1:25"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row>
    <row r="173" spans="1:25"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row>
    <row r="174" spans="1:25"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row>
    <row r="175" spans="1:25"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row>
    <row r="176" spans="1:25"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row>
    <row r="177" spans="1:25"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row>
    <row r="178" spans="1:25"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row>
    <row r="179" spans="1:25"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row>
    <row r="180" spans="1:25"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row>
    <row r="181" spans="1:25"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row>
    <row r="182" spans="1:25"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row>
    <row r="183" spans="1:25"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row>
    <row r="184" spans="1:25"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row>
    <row r="185" spans="1:25"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row>
    <row r="186" spans="1:25"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row>
    <row r="187" spans="1:25"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row>
    <row r="188" spans="1:25"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row>
    <row r="189" spans="1:25"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row>
    <row r="190" spans="1:25"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row>
    <row r="191" spans="1:25"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row>
    <row r="192" spans="1:25"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row>
    <row r="193" spans="1:25"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row>
    <row r="194" spans="1:25"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row>
    <row r="195" spans="1:25"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row>
    <row r="196" spans="1:25"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row>
    <row r="197" spans="1:25"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row>
    <row r="198" spans="1:25"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row>
    <row r="199" spans="1:25"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row>
    <row r="200" spans="1:25"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row>
    <row r="201" spans="1:25"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row>
    <row r="202" spans="1:25"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row>
    <row r="203" spans="1:25"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row>
    <row r="204" spans="1:25"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row>
    <row r="205" spans="1:25"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row>
    <row r="206" spans="1:25"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row>
    <row r="207" spans="1:25"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row>
    <row r="208" spans="1:25"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row>
    <row r="209" spans="1:25"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row>
    <row r="210" spans="1:25"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row>
    <row r="211" spans="1:25"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row>
    <row r="212" spans="1:25"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row>
    <row r="213" spans="1:25"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row>
    <row r="214" spans="1:25"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row>
    <row r="215" spans="1:25"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row>
    <row r="216" spans="1:25"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row>
    <row r="217" spans="1:25"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row>
    <row r="218" spans="1:25"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row>
    <row r="219" spans="1:25"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row>
    <row r="220" spans="1:25"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row>
    <row r="221" spans="1:25"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row>
    <row r="222" spans="1:25"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row>
    <row r="223" spans="1:25"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row>
    <row r="224" spans="1:25"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row>
    <row r="225" spans="1:25"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row>
    <row r="226" spans="1:25"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row>
    <row r="227" spans="1:25"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row>
    <row r="228" spans="1:25"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row>
    <row r="229" spans="1:25"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row>
    <row r="230" spans="1:25"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row>
  </sheetData>
  <sheetProtection sheet="1" objects="1" scenarios="1" formatCells="0" formatColumns="0" formatRows="0"/>
  <mergeCells count="4">
    <mergeCell ref="B121:H121"/>
    <mergeCell ref="B94:H94"/>
    <mergeCell ref="B67:H67"/>
    <mergeCell ref="B116:H116"/>
  </mergeCells>
  <phoneticPr fontId="4" type="noConversion"/>
  <pageMargins left="0.56000000000000005" right="0.44999999999999996" top="0.53" bottom="1" header="0.5" footer="0.5"/>
  <pageSetup scale="71" fitToHeight="2"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H36"/>
  <sheetViews>
    <sheetView showGridLines="0" zoomScaleNormal="100" workbookViewId="0">
      <selection activeCell="B37" sqref="B37"/>
    </sheetView>
  </sheetViews>
  <sheetFormatPr defaultRowHeight="13.2" x14ac:dyDescent="0.25"/>
  <cols>
    <col min="1" max="1" width="6" customWidth="1"/>
    <col min="2" max="2" width="38.5546875" customWidth="1"/>
    <col min="3" max="3" width="16.33203125" customWidth="1"/>
    <col min="4" max="4" width="2.88671875" customWidth="1"/>
    <col min="5" max="5" width="44.109375" customWidth="1"/>
    <col min="6" max="6" width="13.44140625" customWidth="1"/>
    <col min="7" max="7" width="7.33203125" customWidth="1"/>
  </cols>
  <sheetData>
    <row r="1" spans="1:7" ht="17.399999999999999" x14ac:dyDescent="0.3">
      <c r="B1" s="4" t="s">
        <v>86</v>
      </c>
    </row>
    <row r="2" spans="1:7" ht="17.399999999999999" x14ac:dyDescent="0.3">
      <c r="B2" s="4"/>
    </row>
    <row r="3" spans="1:7" x14ac:dyDescent="0.25">
      <c r="B3" s="12" t="s">
        <v>87</v>
      </c>
      <c r="C3" s="14">
        <f>'Oilseed Processing'!H37</f>
        <v>5</v>
      </c>
      <c r="F3" s="14">
        <f>+C3</f>
        <v>5</v>
      </c>
    </row>
    <row r="4" spans="1:7" x14ac:dyDescent="0.25">
      <c r="B4" s="12" t="s">
        <v>152</v>
      </c>
      <c r="C4" s="14">
        <f>+'Oilseed Processing'!H126</f>
        <v>4772.7333333333336</v>
      </c>
      <c r="F4" s="135">
        <f>+C4</f>
        <v>4772.7333333333336</v>
      </c>
    </row>
    <row r="6" spans="1:7" ht="13.8" x14ac:dyDescent="0.25">
      <c r="A6" s="130" t="s">
        <v>31</v>
      </c>
      <c r="B6" s="160" t="s">
        <v>132</v>
      </c>
      <c r="C6" s="161"/>
      <c r="E6" s="160" t="s">
        <v>131</v>
      </c>
      <c r="F6" s="161"/>
      <c r="G6" s="130" t="s">
        <v>31</v>
      </c>
    </row>
    <row r="7" spans="1:7" x14ac:dyDescent="0.25">
      <c r="C7" s="2"/>
      <c r="F7" s="2"/>
    </row>
    <row r="8" spans="1:7" x14ac:dyDescent="0.25">
      <c r="B8" s="1" t="s">
        <v>22</v>
      </c>
      <c r="C8" s="8"/>
      <c r="E8" s="1" t="s">
        <v>27</v>
      </c>
      <c r="F8" s="8"/>
    </row>
    <row r="9" spans="1:7" x14ac:dyDescent="0.25">
      <c r="B9" s="3" t="s">
        <v>43</v>
      </c>
      <c r="C9" s="131">
        <f>+'Oilseed Processing'!H143</f>
        <v>16686.447499999998</v>
      </c>
      <c r="E9" s="3" t="s">
        <v>116</v>
      </c>
      <c r="F9" s="131">
        <f>'Oilseed Processing'!$H$145</f>
        <v>16686.447499999998</v>
      </c>
    </row>
    <row r="10" spans="1:7" x14ac:dyDescent="0.25">
      <c r="B10" s="3" t="s">
        <v>165</v>
      </c>
      <c r="C10" s="131">
        <f>+'Oilseed Processing'!H119</f>
        <v>0</v>
      </c>
      <c r="E10" s="3" t="s">
        <v>165</v>
      </c>
      <c r="F10" s="131">
        <f>+'Oilseed Processing'!H119</f>
        <v>0</v>
      </c>
    </row>
    <row r="11" spans="1:7" x14ac:dyDescent="0.25">
      <c r="B11" s="16" t="s">
        <v>151</v>
      </c>
      <c r="C11" s="131">
        <f>+'Oilseed Processing'!H152</f>
        <v>17897.75</v>
      </c>
      <c r="E11" s="16" t="s">
        <v>151</v>
      </c>
      <c r="F11" s="131">
        <f>+'Income Exp &amp; Cash Flow '!C11</f>
        <v>17897.75</v>
      </c>
    </row>
    <row r="12" spans="1:7" x14ac:dyDescent="0.25">
      <c r="B12" s="5" t="s">
        <v>24</v>
      </c>
      <c r="C12" s="132">
        <f>SUM(C9:C11)</f>
        <v>34584.197499999995</v>
      </c>
      <c r="E12" s="5" t="s">
        <v>28</v>
      </c>
      <c r="F12" s="132">
        <f>SUM(F9:F11)</f>
        <v>34584.197499999995</v>
      </c>
    </row>
    <row r="13" spans="1:7" x14ac:dyDescent="0.25">
      <c r="B13" s="1"/>
      <c r="C13" s="15"/>
      <c r="E13" s="1"/>
      <c r="F13" s="15"/>
    </row>
    <row r="14" spans="1:7" x14ac:dyDescent="0.25">
      <c r="B14" s="1" t="s">
        <v>21</v>
      </c>
      <c r="C14" s="15"/>
      <c r="E14" s="1" t="s">
        <v>26</v>
      </c>
      <c r="F14" s="15"/>
    </row>
    <row r="15" spans="1:7" x14ac:dyDescent="0.25">
      <c r="B15" s="6" t="s">
        <v>117</v>
      </c>
      <c r="C15" s="131">
        <f>+'Oilseed Processing'!F33</f>
        <v>26550</v>
      </c>
      <c r="E15" s="6" t="s">
        <v>118</v>
      </c>
      <c r="F15" s="131">
        <f>+'Oilseed Processing'!G34</f>
        <v>29430</v>
      </c>
    </row>
    <row r="16" spans="1:7" x14ac:dyDescent="0.25">
      <c r="B16" s="13" t="s">
        <v>23</v>
      </c>
      <c r="C16" s="131"/>
      <c r="E16" s="13" t="s">
        <v>23</v>
      </c>
      <c r="F16" s="131"/>
    </row>
    <row r="17" spans="1:8" x14ac:dyDescent="0.25">
      <c r="B17" s="6" t="s">
        <v>83</v>
      </c>
      <c r="C17" s="131">
        <f>'Oilseed Processing'!H84</f>
        <v>1685.2658040963015</v>
      </c>
      <c r="E17" s="6" t="s">
        <v>83</v>
      </c>
      <c r="F17" s="133"/>
    </row>
    <row r="18" spans="1:8" x14ac:dyDescent="0.25">
      <c r="B18" s="6" t="s">
        <v>84</v>
      </c>
      <c r="C18" s="131">
        <f>'Oilseed Processing'!H85</f>
        <v>570</v>
      </c>
      <c r="E18" s="6" t="s">
        <v>84</v>
      </c>
      <c r="F18" s="134">
        <f>+C18</f>
        <v>570</v>
      </c>
    </row>
    <row r="19" spans="1:8" x14ac:dyDescent="0.25">
      <c r="B19" s="6" t="s">
        <v>105</v>
      </c>
      <c r="C19" s="131">
        <f>'Oilseed Processing'!$H$112</f>
        <v>336.05022981818183</v>
      </c>
      <c r="E19" s="6" t="s">
        <v>105</v>
      </c>
      <c r="F19" s="131">
        <f>'Oilseed Processing'!$H$112</f>
        <v>336.05022981818183</v>
      </c>
    </row>
    <row r="20" spans="1:8" x14ac:dyDescent="0.25">
      <c r="A20" s="130" t="s">
        <v>31</v>
      </c>
      <c r="B20" s="6" t="s">
        <v>106</v>
      </c>
      <c r="C20" s="131">
        <f>'Oilseed Processing'!$H$98*'Oilseed Processing'!$H$96</f>
        <v>0</v>
      </c>
      <c r="E20" s="6" t="s">
        <v>106</v>
      </c>
      <c r="F20" s="131">
        <f>'Oilseed Processing'!$H$98</f>
        <v>2899.2</v>
      </c>
      <c r="G20" s="130" t="s">
        <v>31</v>
      </c>
      <c r="H20" s="11"/>
    </row>
    <row r="21" spans="1:8" x14ac:dyDescent="0.25">
      <c r="B21" s="17" t="s">
        <v>134</v>
      </c>
      <c r="C21" s="132">
        <f>SUM(C15:C20)</f>
        <v>29141.316033914482</v>
      </c>
      <c r="E21" s="18" t="s">
        <v>29</v>
      </c>
      <c r="F21" s="132">
        <f>SUM(F15:F20)</f>
        <v>33235.250229818179</v>
      </c>
    </row>
    <row r="22" spans="1:8" x14ac:dyDescent="0.25">
      <c r="C22" s="9"/>
      <c r="F22" s="9"/>
    </row>
    <row r="23" spans="1:8" x14ac:dyDescent="0.25">
      <c r="B23" s="3" t="s">
        <v>133</v>
      </c>
      <c r="C23" s="10"/>
      <c r="E23" s="16" t="s">
        <v>128</v>
      </c>
      <c r="F23" s="131">
        <f>+'Oilseed Processing'!H88</f>
        <v>1357.1428571428571</v>
      </c>
    </row>
    <row r="24" spans="1:8" x14ac:dyDescent="0.25">
      <c r="B24" s="5" t="s">
        <v>85</v>
      </c>
      <c r="C24" s="132">
        <f>SUM(C15:C20)</f>
        <v>29141.316033914482</v>
      </c>
      <c r="E24" s="5" t="s">
        <v>30</v>
      </c>
      <c r="F24" s="132">
        <f>+F21+F23</f>
        <v>34592.393086961034</v>
      </c>
    </row>
    <row r="25" spans="1:8" x14ac:dyDescent="0.25">
      <c r="A25" s="130" t="s">
        <v>31</v>
      </c>
      <c r="B25" s="5" t="s">
        <v>135</v>
      </c>
      <c r="C25" s="137">
        <f>C24/C4</f>
        <v>6.105791796576626</v>
      </c>
      <c r="E25" s="5" t="s">
        <v>137</v>
      </c>
      <c r="F25" s="137">
        <f>+F24/F4</f>
        <v>7.2479207764162465</v>
      </c>
    </row>
    <row r="26" spans="1:8" x14ac:dyDescent="0.25">
      <c r="C26" s="9"/>
      <c r="F26" s="9"/>
    </row>
    <row r="27" spans="1:8" x14ac:dyDescent="0.25">
      <c r="C27" s="9"/>
      <c r="F27" s="9"/>
    </row>
    <row r="28" spans="1:8" x14ac:dyDescent="0.25">
      <c r="B28" s="5" t="s">
        <v>25</v>
      </c>
      <c r="C28" s="149">
        <f>+C12-C24</f>
        <v>5442.8814660855132</v>
      </c>
      <c r="E28" s="5" t="s">
        <v>113</v>
      </c>
      <c r="F28" s="149">
        <f>F12-F24</f>
        <v>-8.1955869610392256</v>
      </c>
    </row>
    <row r="29" spans="1:8" x14ac:dyDescent="0.25">
      <c r="B29" s="5" t="s">
        <v>136</v>
      </c>
      <c r="C29" s="137">
        <f>C28/C4</f>
        <v>1.1404118114187913</v>
      </c>
      <c r="E29" s="138" t="s">
        <v>138</v>
      </c>
      <c r="F29" s="139">
        <f>F28/F4</f>
        <v>-1.7171684208292714E-3</v>
      </c>
    </row>
    <row r="31" spans="1:8" x14ac:dyDescent="0.25">
      <c r="B31" t="s">
        <v>112</v>
      </c>
    </row>
    <row r="32" spans="1:8" x14ac:dyDescent="0.25">
      <c r="C32" s="136"/>
    </row>
    <row r="33" spans="2:3" x14ac:dyDescent="0.25">
      <c r="B33" t="s">
        <v>173</v>
      </c>
    </row>
    <row r="35" spans="2:3" x14ac:dyDescent="0.25">
      <c r="B35" s="150" t="s">
        <v>177</v>
      </c>
      <c r="C35" s="9"/>
    </row>
    <row r="36" spans="2:3" x14ac:dyDescent="0.25">
      <c r="B36" s="150" t="s">
        <v>178</v>
      </c>
      <c r="C36" s="9"/>
    </row>
  </sheetData>
  <sheetProtection sheet="1" objects="1" scenarios="1" formatCells="0" formatColumns="0" formatRows="0"/>
  <mergeCells count="2">
    <mergeCell ref="B6:C6"/>
    <mergeCell ref="E6:F6"/>
  </mergeCells>
  <phoneticPr fontId="4" type="noConversion"/>
  <conditionalFormatting sqref="F29 C29">
    <cfRule type="cellIs" dxfId="2" priority="3" stopIfTrue="1" operator="lessThan">
      <formula>0</formula>
    </cfRule>
  </conditionalFormatting>
  <conditionalFormatting sqref="C28">
    <cfRule type="cellIs" dxfId="1" priority="2" stopIfTrue="1" operator="lessThan">
      <formula>0</formula>
    </cfRule>
  </conditionalFormatting>
  <conditionalFormatting sqref="F28">
    <cfRule type="cellIs" dxfId="0" priority="1" stopIfTrue="1" operator="lessThan">
      <formula>0</formula>
    </cfRule>
  </conditionalFormatting>
  <pageMargins left="0.5" right="0.5" top="0.5" bottom="0.5" header="0.5" footer="0.5"/>
  <pageSetup orientation="landscape" horizontalDpi="300" verticalDpi="300" r:id="rId1"/>
  <headerFooter alignWithMargins="0"/>
  <rowBreaks count="1" manualBreakCount="1">
    <brk id="2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Oilseed Processing</vt:lpstr>
      <vt:lpstr>Income Exp &amp; Cash Flow </vt:lpstr>
    </vt:vector>
  </TitlesOfParts>
  <Company>MSU Ag-Econ/Econ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jschumacher</dc:creator>
  <cp:lastModifiedBy>Hayes, Keri</cp:lastModifiedBy>
  <cp:lastPrinted>2008-10-27T20:00:59Z</cp:lastPrinted>
  <dcterms:created xsi:type="dcterms:W3CDTF">2006-12-11T17:38:12Z</dcterms:created>
  <dcterms:modified xsi:type="dcterms:W3CDTF">2015-05-21T19:29:45Z</dcterms:modified>
</cp:coreProperties>
</file>