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12C392\Desktop\"/>
    </mc:Choice>
  </mc:AlternateContent>
  <bookViews>
    <workbookView xWindow="20352" yWindow="-228" windowWidth="17496" windowHeight="13152" tabRatio="729"/>
  </bookViews>
  <sheets>
    <sheet name="Title" sheetId="6" r:id="rId1"/>
    <sheet name="Instructions" sheetId="5" r:id="rId2"/>
    <sheet name="Oilseed Crushing" sheetId="2" r:id="rId3"/>
    <sheet name="Biodiesel Production" sheetId="1" r:id="rId4"/>
    <sheet name="IncomeExp_CashFlow" sheetId="3" r:id="rId5"/>
  </sheets>
  <calcPr calcId="152511"/>
</workbook>
</file>

<file path=xl/calcChain.xml><?xml version="1.0" encoding="utf-8"?>
<calcChain xmlns="http://schemas.openxmlformats.org/spreadsheetml/2006/main">
  <c r="G78" i="1" l="1"/>
  <c r="F78" i="1"/>
  <c r="G77" i="1"/>
  <c r="F77" i="1"/>
  <c r="G115" i="1"/>
  <c r="G79" i="1"/>
  <c r="F100" i="1"/>
  <c r="F103" i="1" s="1"/>
  <c r="F104" i="1" s="1"/>
  <c r="G100" i="1"/>
  <c r="G103" i="1" s="1"/>
  <c r="G64" i="1"/>
  <c r="G66" i="1" s="1"/>
  <c r="D29" i="3" s="1"/>
  <c r="G65" i="1"/>
  <c r="G67" i="1"/>
  <c r="D30" i="3" s="1"/>
  <c r="H30" i="3" s="1"/>
  <c r="G142" i="1"/>
  <c r="G141" i="1"/>
  <c r="F79" i="1"/>
  <c r="F64" i="1"/>
  <c r="F65" i="1"/>
  <c r="F66" i="1" s="1"/>
  <c r="C29" i="3" s="1"/>
  <c r="C6" i="3"/>
  <c r="G6" i="3" s="1"/>
  <c r="D6" i="3"/>
  <c r="G62" i="1"/>
  <c r="G22" i="1"/>
  <c r="G80" i="1" s="1"/>
  <c r="G7" i="1"/>
  <c r="G6" i="1"/>
  <c r="G23" i="1"/>
  <c r="G8" i="1"/>
  <c r="G110" i="1"/>
  <c r="F38" i="1"/>
  <c r="F46" i="1"/>
  <c r="F62" i="1"/>
  <c r="F67" i="1" s="1"/>
  <c r="C30" i="3" s="1"/>
  <c r="G30" i="3" s="1"/>
  <c r="F110" i="1"/>
  <c r="F115" i="1"/>
  <c r="F127" i="1"/>
  <c r="F148" i="1" s="1"/>
  <c r="F123" i="1"/>
  <c r="G127" i="1"/>
  <c r="G123" i="1"/>
  <c r="G152" i="1"/>
  <c r="G70" i="1"/>
  <c r="G145" i="1" s="1"/>
  <c r="H6" i="3"/>
  <c r="G74" i="1"/>
  <c r="F74" i="1"/>
  <c r="I73" i="2"/>
  <c r="H73" i="2"/>
  <c r="I61" i="2"/>
  <c r="I65" i="2" s="1"/>
  <c r="D24" i="3" s="1"/>
  <c r="I69" i="2"/>
  <c r="I105" i="2" s="1"/>
  <c r="I66" i="2"/>
  <c r="D25" i="3" s="1"/>
  <c r="H25" i="3" s="1"/>
  <c r="H61" i="2"/>
  <c r="H69" i="2" s="1"/>
  <c r="H66" i="2"/>
  <c r="C25" i="3" s="1"/>
  <c r="G25" i="3" s="1"/>
  <c r="Q11" i="2"/>
  <c r="Q18" i="2" s="1"/>
  <c r="H111" i="2" s="1"/>
  <c r="Q12" i="2"/>
  <c r="Q13" i="2"/>
  <c r="Q14" i="2"/>
  <c r="Q15" i="2"/>
  <c r="Q16" i="2"/>
  <c r="Q17" i="2"/>
  <c r="I11" i="2"/>
  <c r="P11" i="2" s="1"/>
  <c r="P18" i="2" s="1"/>
  <c r="P12" i="2"/>
  <c r="P13" i="2"/>
  <c r="P14" i="2"/>
  <c r="P15" i="2"/>
  <c r="P16" i="2"/>
  <c r="P17" i="2"/>
  <c r="R11" i="2"/>
  <c r="R12" i="2"/>
  <c r="R13" i="2"/>
  <c r="R14" i="2"/>
  <c r="R15" i="2"/>
  <c r="R16" i="2"/>
  <c r="R17" i="2"/>
  <c r="R18" i="2"/>
  <c r="I18" i="2"/>
  <c r="I19" i="2" s="1"/>
  <c r="H35" i="2"/>
  <c r="H102" i="2" s="1"/>
  <c r="H46" i="2"/>
  <c r="I35" i="2"/>
  <c r="D7" i="3" s="1"/>
  <c r="I38" i="2"/>
  <c r="I126" i="2" s="1"/>
  <c r="I46" i="2"/>
  <c r="I76" i="2"/>
  <c r="H65" i="2"/>
  <c r="C24" i="3" s="1"/>
  <c r="D5" i="3"/>
  <c r="H5" i="3" s="1"/>
  <c r="C5" i="3"/>
  <c r="H67" i="2"/>
  <c r="I67" i="2"/>
  <c r="I102" i="2"/>
  <c r="G68" i="1"/>
  <c r="I27" i="2"/>
  <c r="I29" i="2" s="1"/>
  <c r="D4" i="3"/>
  <c r="H4" i="3" s="1"/>
  <c r="G5" i="3"/>
  <c r="C4" i="3"/>
  <c r="G4" i="3"/>
  <c r="H27" i="2"/>
  <c r="H29" i="2" s="1"/>
  <c r="H78" i="2" s="1"/>
  <c r="L17" i="2"/>
  <c r="L16" i="2"/>
  <c r="L15" i="2"/>
  <c r="L14" i="2"/>
  <c r="L13" i="2"/>
  <c r="L12" i="2"/>
  <c r="L11" i="2"/>
  <c r="I21" i="2" s="1"/>
  <c r="K13" i="2"/>
  <c r="G9" i="1"/>
  <c r="K11" i="2"/>
  <c r="I20" i="2" s="1"/>
  <c r="K12" i="2"/>
  <c r="K14" i="2"/>
  <c r="K15" i="2"/>
  <c r="K16" i="2"/>
  <c r="K17" i="2"/>
  <c r="H100" i="2"/>
  <c r="G15" i="1"/>
  <c r="G148" i="1" s="1"/>
  <c r="H38" i="2"/>
  <c r="H101" i="2" s="1"/>
  <c r="F70" i="1"/>
  <c r="C7" i="3"/>
  <c r="G7" i="3" s="1"/>
  <c r="F15" i="1"/>
  <c r="F80" i="1" s="1"/>
  <c r="F129" i="1"/>
  <c r="C16" i="3" s="1"/>
  <c r="G16" i="3" s="1"/>
  <c r="F109" i="1"/>
  <c r="D17" i="3"/>
  <c r="H17" i="3" s="1"/>
  <c r="C33" i="3"/>
  <c r="G33" i="3" s="1"/>
  <c r="H127" i="2"/>
  <c r="H126" i="2"/>
  <c r="H128" i="2" s="1"/>
  <c r="F81" i="1"/>
  <c r="F16" i="1"/>
  <c r="F93" i="1" s="1"/>
  <c r="F85" i="1"/>
  <c r="F153" i="1"/>
  <c r="G153" i="1"/>
  <c r="C14" i="3"/>
  <c r="G32" i="3" l="1"/>
  <c r="C32" i="3"/>
  <c r="H110" i="2"/>
  <c r="I110" i="2" s="1"/>
  <c r="Q19" i="2"/>
  <c r="H7" i="3"/>
  <c r="D8" i="3"/>
  <c r="H8" i="3" s="1"/>
  <c r="D33" i="3"/>
  <c r="H33" i="3" s="1"/>
  <c r="H87" i="2"/>
  <c r="H93" i="2" s="1"/>
  <c r="H79" i="2"/>
  <c r="I28" i="2"/>
  <c r="I36" i="2" s="1"/>
  <c r="H28" i="2"/>
  <c r="H36" i="2" s="1"/>
  <c r="I79" i="2"/>
  <c r="I87" i="2"/>
  <c r="I93" i="2" s="1"/>
  <c r="G14" i="3"/>
  <c r="H129" i="2"/>
  <c r="F145" i="1"/>
  <c r="I78" i="2"/>
  <c r="I107" i="2"/>
  <c r="I106" i="2"/>
  <c r="I111" i="2"/>
  <c r="F117" i="1"/>
  <c r="G36" i="3"/>
  <c r="H105" i="2"/>
  <c r="D14" i="3"/>
  <c r="F90" i="1"/>
  <c r="G16" i="1"/>
  <c r="F114" i="1"/>
  <c r="C8" i="3"/>
  <c r="G8" i="3" s="1"/>
  <c r="G129" i="1"/>
  <c r="D16" i="3" s="1"/>
  <c r="H16" i="3" s="1"/>
  <c r="G85" i="1"/>
  <c r="C17" i="3"/>
  <c r="G17" i="3" s="1"/>
  <c r="G81" i="1"/>
  <c r="I127" i="2"/>
  <c r="I128" i="2" s="1"/>
  <c r="F68" i="1"/>
  <c r="H36" i="3"/>
  <c r="G114" i="1"/>
  <c r="G109" i="1"/>
  <c r="F17" i="1"/>
  <c r="F132" i="1" s="1"/>
  <c r="G17" i="1"/>
  <c r="G132" i="1" s="1"/>
  <c r="I101" i="2"/>
  <c r="H14" i="3" l="1"/>
  <c r="I129" i="2"/>
  <c r="H26" i="3"/>
  <c r="D26" i="3"/>
  <c r="H106" i="2"/>
  <c r="H107" i="2"/>
  <c r="D27" i="3"/>
  <c r="I114" i="2"/>
  <c r="H27" i="3"/>
  <c r="C15" i="3"/>
  <c r="F139" i="1"/>
  <c r="F149" i="1"/>
  <c r="C31" i="3"/>
  <c r="F137" i="1"/>
  <c r="G31" i="3"/>
  <c r="G90" i="1"/>
  <c r="G117" i="1" s="1"/>
  <c r="G93" i="1"/>
  <c r="G104" i="1"/>
  <c r="C27" i="3"/>
  <c r="H114" i="2"/>
  <c r="G27" i="3"/>
  <c r="D15" i="3"/>
  <c r="H15" i="3" s="1"/>
  <c r="G149" i="1"/>
  <c r="G139" i="1"/>
  <c r="C22" i="3"/>
  <c r="R20" i="2"/>
  <c r="C26" i="3"/>
  <c r="G26" i="3"/>
  <c r="D31" i="3" l="1"/>
  <c r="G137" i="1"/>
  <c r="H31" i="3"/>
  <c r="G22" i="3"/>
  <c r="I112" i="2"/>
  <c r="I113" i="2" s="1"/>
  <c r="I115" i="2" s="1"/>
  <c r="I120" i="2" s="1"/>
  <c r="H81" i="2"/>
  <c r="H112" i="2"/>
  <c r="H113" i="2" s="1"/>
  <c r="H115" i="2" s="1"/>
  <c r="H120" i="2" s="1"/>
  <c r="D22" i="3"/>
  <c r="C34" i="3"/>
  <c r="C37" i="3"/>
  <c r="C38" i="3" s="1"/>
  <c r="H18" i="3"/>
  <c r="H32" i="3"/>
  <c r="D32" i="3"/>
  <c r="G15" i="3"/>
  <c r="G18" i="3" s="1"/>
  <c r="C18" i="3"/>
  <c r="D18" i="3"/>
  <c r="H132" i="2" l="1"/>
  <c r="H133" i="2" s="1"/>
  <c r="F20" i="1" s="1"/>
  <c r="F21" i="1" s="1"/>
  <c r="H122" i="2"/>
  <c r="H121" i="2"/>
  <c r="I81" i="2"/>
  <c r="I95" i="2" s="1"/>
  <c r="H95" i="2"/>
  <c r="I132" i="2"/>
  <c r="I133" i="2" s="1"/>
  <c r="G20" i="1" s="1"/>
  <c r="G21" i="1" s="1"/>
  <c r="I122" i="2"/>
  <c r="I121" i="2"/>
  <c r="H19" i="3"/>
  <c r="C41" i="3"/>
  <c r="C42" i="3" s="1"/>
  <c r="C19" i="3"/>
  <c r="G19" i="3"/>
  <c r="G34" i="3"/>
  <c r="G37" i="3" s="1"/>
  <c r="G38" i="3" s="1"/>
  <c r="H22" i="3"/>
  <c r="H34" i="3" s="1"/>
  <c r="H37" i="3" s="1"/>
  <c r="H38" i="3" s="1"/>
  <c r="D19" i="3"/>
  <c r="D34" i="3"/>
  <c r="D37" i="3"/>
  <c r="D38" i="3" s="1"/>
  <c r="H117" i="2" l="1"/>
  <c r="H116" i="2"/>
  <c r="G41" i="3"/>
  <c r="G42" i="3" s="1"/>
  <c r="D41" i="3"/>
  <c r="D42" i="3" s="1"/>
  <c r="H41" i="3"/>
  <c r="H42" i="3" s="1"/>
  <c r="G136" i="1"/>
  <c r="G138" i="1" s="1"/>
  <c r="G140" i="1" s="1"/>
  <c r="G143" i="1" s="1"/>
  <c r="G155" i="1" s="1"/>
  <c r="G146" i="1"/>
  <c r="G147" i="1" s="1"/>
  <c r="G150" i="1" s="1"/>
  <c r="I117" i="2"/>
  <c r="I116" i="2"/>
  <c r="F136" i="1"/>
  <c r="F138" i="1" s="1"/>
  <c r="F140" i="1" s="1"/>
  <c r="F143" i="1" s="1"/>
  <c r="F155" i="1" s="1"/>
  <c r="F146" i="1"/>
  <c r="F147" i="1" s="1"/>
  <c r="F150" i="1" s="1"/>
</calcChain>
</file>

<file path=xl/comments1.xml><?xml version="1.0" encoding="utf-8"?>
<comments xmlns="http://schemas.openxmlformats.org/spreadsheetml/2006/main">
  <authors>
    <author>Duane Griffith</author>
  </authors>
  <commentList>
    <comment ref="M7" authorId="0" shapeId="0">
      <text>
        <r>
          <rPr>
            <sz val="10"/>
            <color indexed="81"/>
            <rFont val="Tahoma"/>
            <family val="2"/>
          </rPr>
          <t xml:space="preserve">Enter the cost of producing a particular crop for that year.  </t>
        </r>
      </text>
    </comment>
    <comment ref="A10" authorId="0" shapeId="0">
      <text>
        <r>
          <rPr>
            <sz val="10"/>
            <color indexed="81"/>
            <rFont val="Tahoma"/>
            <family val="2"/>
          </rPr>
          <t xml:space="preserve">Typical Oil Content for Oilseed Crops
Flax:         35% to 40%
Canola:     35% to 42%
Camelina:  34% to 41%
Safflower: 34% to 39%
Mustard:   25% to 30%
 </t>
        </r>
      </text>
    </comment>
    <comment ref="A13" authorId="0" shapeId="0">
      <text>
        <r>
          <rPr>
            <sz val="10"/>
            <color indexed="81"/>
            <rFont val="Tahoma"/>
            <family val="2"/>
          </rPr>
          <t xml:space="preserve">Flax prices are commonly quoted in per bushel terms.  A bushel of flax weighs approximately 53 lbs.  To convert a price per bushel to a price per pound divide the price by 53.  
 </t>
        </r>
      </text>
    </comment>
    <comment ref="A25" authorId="0" shapeId="0">
      <text>
        <r>
          <rPr>
            <sz val="10"/>
            <color indexed="81"/>
            <rFont val="Tahoma"/>
            <family val="2"/>
          </rPr>
          <t>The crushing capacity of most mechanical oilseed crushers is quoted in tons (US) per day.  In some cases the capacity of press is quoted in pounds per hour.  If this is the case, multiply the pounds per hour by 24 and then divide the answer by 2,000 to get the capacity in terms of tons per day.  In some cases the capacity will listed in metric tonnes per day.  To convert metric tonnes to US tons multiply the capacity in metric tonnes by 1.1023.</t>
        </r>
      </text>
    </comment>
    <comment ref="A29" authorId="0" shapeId="0">
      <text>
        <r>
          <rPr>
            <sz val="10"/>
            <color indexed="81"/>
            <rFont val="Tahoma"/>
            <family val="2"/>
          </rPr>
          <t>This indicates the number of hours it will take to process 1 ton of oilseed feedstock.  As the capacity of the press increases the number of hours required to process a ton of oilseed is reduced.  Potential oilseed processors with limited hours available to operate a press may want to consider a larger capacity processor.</t>
        </r>
      </text>
    </comment>
    <comment ref="A30" authorId="0" shapeId="0">
      <text>
        <r>
          <rPr>
            <sz val="10"/>
            <color indexed="81"/>
            <rFont val="Tahoma"/>
            <family val="2"/>
          </rPr>
          <t>Mechanical oilseed presses are not capable of recovering 100% of the oil in an oilseed.  Most presses have the ability to recover between 60% and 80% of the oil in the oilseed.  Adjustments on the press, temperature and seed quality all affect the oil recover rate.</t>
        </r>
      </text>
    </comment>
    <comment ref="A31" authorId="0" shapeId="0">
      <text>
        <r>
          <rPr>
            <sz val="10"/>
            <color indexed="81"/>
            <rFont val="Tahoma"/>
            <family val="2"/>
          </rPr>
          <t>During oilseed processing some material is lost due to moisture loss, screening the material and spillage.  This may account for 2% to 10% of the original material.  Enter the percent of material lost during processing in this cell.</t>
        </r>
      </text>
    </comment>
    <comment ref="A42" authorId="0" shapeId="0">
      <text>
        <r>
          <rPr>
            <sz val="10"/>
            <color indexed="81"/>
            <rFont val="Tahoma"/>
            <family val="2"/>
          </rPr>
          <t>Enter the percentage of the meal produced during processing that was sold for cash.  The remaining amount it assumed to be used as feed in your own operation.</t>
        </r>
      </text>
    </comment>
    <comment ref="A44" authorId="0" shapeId="0">
      <text>
        <r>
          <rPr>
            <sz val="10"/>
            <color indexed="81"/>
            <rFont val="Tahoma"/>
            <family val="2"/>
          </rPr>
          <t>This the average selling price of the oilseed meal produced by processing the oilseed feedstock.  If oilseed meal is used on farm, enter the value that the meal could have been sold for or the price that would have been paid to purchase an equal amount of oilseed meal.</t>
        </r>
      </text>
    </comment>
    <comment ref="A45" authorId="0" shapeId="0">
      <text>
        <r>
          <rPr>
            <sz val="10"/>
            <color indexed="81"/>
            <rFont val="Tahoma"/>
            <family val="2"/>
          </rPr>
          <t>Transportation costs refer to the cost to deliver the oilseed meal to the buyer of the meal.  These costs include fuel costs, depreciation of the delivery truck and the labor cost of the truck driver. If the meal is used on farm or if the buyer takes delivery of the meal at the site of your oilseed processor then transportation costs are zero.</t>
        </r>
      </text>
    </comment>
    <comment ref="A76" authorId="0" shapeId="0">
      <text>
        <r>
          <rPr>
            <sz val="10"/>
            <color indexed="81"/>
            <rFont val="Tahoma"/>
            <family val="2"/>
          </rPr>
          <t xml:space="preserve">
Enter the total hourly cost of the labor required to operate the equipment.  If help is hired to operate the equipment then include the total amount paid to the worker and all associated payroll taxes paid.  If you operate the press yourself then enter the value of your time.  The value of your time can be estimated by several methods, here are a couple of examples: 
1) can be based on other work opportunities available (such as off farm work)
2) the cost of paying someone to complete work that you would have done if you had not been operating the equipment (for example: if you hire someone to swath a field that you would have swathed yourself if you had not been operating the equipment then the cost of your time is the cost you paid per hour to have the field swathed)
</t>
        </r>
      </text>
    </comment>
    <comment ref="A85" authorId="0" shapeId="0">
      <text>
        <r>
          <rPr>
            <sz val="10"/>
            <color indexed="81"/>
            <rFont val="Tahoma"/>
            <family val="2"/>
          </rPr>
          <t>Electric Motors have an efficiency rating, which is typically between 70% and 90%.  If you do not know the efficiency rating, leave this cell blank and the spreadsheet will estimate it for you.</t>
        </r>
      </text>
    </comment>
    <comment ref="A86" authorId="0" shapeId="0">
      <text>
        <r>
          <rPr>
            <sz val="10"/>
            <color indexed="81"/>
            <rFont val="Tahoma"/>
            <family val="2"/>
          </rPr>
          <t>If you are unsure of the cost per kilowatt hour (KWH), you may want to use the Montana average price of $0.0757, based on 2009 Energy Information Association data.  
Note: This spreadsheet is not currently designed to estimate costs of operating a diesel powered press.</t>
        </r>
      </text>
    </comment>
    <comment ref="A89" authorId="0" shapeId="0">
      <text>
        <r>
          <rPr>
            <sz val="10"/>
            <color indexed="81"/>
            <rFont val="Tahoma"/>
            <family val="2"/>
          </rPr>
          <t xml:space="preserve">Enter any </t>
        </r>
        <r>
          <rPr>
            <b/>
            <u/>
            <sz val="10"/>
            <color indexed="81"/>
            <rFont val="Tahoma"/>
            <family val="2"/>
          </rPr>
          <t>annual</t>
        </r>
        <r>
          <rPr>
            <sz val="10"/>
            <color indexed="81"/>
            <rFont val="Tahoma"/>
            <family val="2"/>
          </rPr>
          <t xml:space="preserve"> repair costs for the equipment.  Do not include any costs already entered above.  The manufacturer of the press may be able to provide estimates of annual maintenance costs.</t>
        </r>
      </text>
    </comment>
  </commentList>
</comments>
</file>

<file path=xl/comments2.xml><?xml version="1.0" encoding="utf-8"?>
<comments xmlns="http://schemas.openxmlformats.org/spreadsheetml/2006/main">
  <authors>
    <author>Duane Griffith</author>
  </authors>
  <commentList>
    <comment ref="A12" authorId="0" shapeId="0">
      <text>
        <r>
          <rPr>
            <sz val="10"/>
            <color indexed="81"/>
            <rFont val="Tahoma"/>
            <family val="2"/>
          </rPr>
          <t>Small scale biodiesel processing is done in batches.  These batches may be as small as 10 gallons per batch or over 200 gallons per batch.  Enter the batch size (in gallons) of the processor on this line.</t>
        </r>
      </text>
    </comment>
    <comment ref="A13" authorId="0" shapeId="0">
      <text>
        <r>
          <rPr>
            <sz val="12"/>
            <color indexed="81"/>
            <rFont val="Tahoma"/>
            <family val="2"/>
          </rPr>
          <t>Enter the number of gallons of oil purchased or collected.  Do not include oil produced from oilseed crushing discussed in this worksheet.  Possible sources may included waste vegetable oil or virgin oil purchased from a commercial processor.</t>
        </r>
      </text>
    </comment>
    <comment ref="A14" authorId="0" shapeId="0">
      <text>
        <r>
          <rPr>
            <sz val="12"/>
            <color indexed="81"/>
            <rFont val="Tahoma"/>
            <family val="2"/>
          </rPr>
          <t>The cost per gallon of any oil purchased.  Include collection costs, delivery costs, pretreatment costs and the purchase price.</t>
        </r>
      </text>
    </comment>
    <comment ref="A21" authorId="0" shapeId="0">
      <text>
        <r>
          <rPr>
            <sz val="12"/>
            <color indexed="81"/>
            <rFont val="Tahoma"/>
            <family val="2"/>
          </rPr>
          <t>The average oil cost is the average of the cost of oil produced by pressing oilseeds and the cost of oil purchased.  This includes all oil processed with the crush and all oil purchased.</t>
        </r>
      </text>
    </comment>
    <comment ref="A23" authorId="0" shapeId="0">
      <text>
        <r>
          <rPr>
            <sz val="12"/>
            <color indexed="81"/>
            <rFont val="Tahoma"/>
            <family val="2"/>
          </rPr>
          <t>Catalyst is often purchased in 50 or 100 pound bags.  Enter the price per pound in the cell.  The worksheet will then calculate the total cost of catalyst used based on the proportions entered above.</t>
        </r>
      </text>
    </comment>
    <comment ref="A28" authorId="0" shapeId="0">
      <text>
        <r>
          <rPr>
            <sz val="12"/>
            <color indexed="81"/>
            <rFont val="Tahoma"/>
            <family val="2"/>
          </rPr>
          <t>Sample batches are often produced before each batch of biodiesel is produced on a larger scale.  These batches allow for adjustments to the alcohol and catalyst mix to be completed before ruining a 40 to 100 gallon batch of oil.  These test batches require small amounts of catalyst and alcohol to measured accurately to ensure the proper proportions will be used for the larger batch.  This requires an small but accurate scale.</t>
        </r>
      </text>
    </comment>
    <comment ref="A29" authorId="0" shapeId="0">
      <text>
        <r>
          <rPr>
            <sz val="12"/>
            <color indexed="81"/>
            <rFont val="Tahoma"/>
            <family val="2"/>
          </rPr>
          <t>Once the proper proportions have been determined using the smaller more accurate scale the proportions need to be measured for the larger biodiesel batch to be processed.  This scale does not need to be as accurate but it does need to measure larger quantities than the small scale.</t>
        </r>
      </text>
    </comment>
    <comment ref="A30" authorId="0" shapeId="0">
      <text>
        <r>
          <rPr>
            <sz val="12"/>
            <color indexed="81"/>
            <rFont val="Tahoma"/>
            <family val="2"/>
          </rPr>
          <t>Some companies sell titration kits, these kits may include 1000 mL, 250 mL and 4 100mL graduated cylinders, funnel, mechanical scale, disposable graduated pipettes, syringes, chemical droppers, rubber gloves, safety glasses and other lab equipment.  Because the contents of these kits varies, three inputs lines (Other #1, 2 &amp; 3) have been  provided to enter additional lab equipment purchases.</t>
        </r>
      </text>
    </comment>
    <comment ref="A31" authorId="0" shapeId="0">
      <text>
        <r>
          <rPr>
            <sz val="12"/>
            <color indexed="81"/>
            <rFont val="Tahoma"/>
            <family val="2"/>
          </rPr>
          <t>Working with chemicals (the catalyst and methanol) require safety equipment to ensure the operator is not injured.  This safety equipment may include goggles, glasses, gloves, apron eye wash equipment and possibly other safety equipment.  Enter the cost of this equipment here.</t>
        </r>
      </text>
    </comment>
    <comment ref="A32" authorId="0" shapeId="0">
      <text>
        <r>
          <rPr>
            <sz val="12"/>
            <color indexed="81"/>
            <rFont val="Tahoma"/>
            <family val="2"/>
          </rPr>
          <t>Due to the flammable nature of methanol, vegetable oil, and biodiesel fire safety is an important aspect of biodiesel production. Enter the cost of any fire safety equipment on this line.</t>
        </r>
      </text>
    </comment>
    <comment ref="A38" authorId="0" shapeId="0">
      <text>
        <r>
          <rPr>
            <sz val="12"/>
            <color indexed="81"/>
            <rFont val="Tahoma"/>
            <family val="2"/>
          </rPr>
          <t>Enter the cost of installing a oil filter to filter the unprocessed vegetable oil.  This includes any plumbing, fittings and the cost of the first filter.  The cost of replacement filters will be entered in the operating cost section of this tab of the worksheet.</t>
        </r>
      </text>
    </comment>
    <comment ref="A46" authorId="0" shapeId="0">
      <text>
        <r>
          <rPr>
            <sz val="12"/>
            <color indexed="81"/>
            <rFont val="Tahoma"/>
            <family val="2"/>
          </rPr>
          <t>Biodiesel processors can be purchased as "ready to use" units.  Not all ready to use processors include the same equipment.  Enter the cost of the "ready to use" unit here and any additional equipment purchased on the lines below.</t>
        </r>
      </text>
    </comment>
    <comment ref="A47" authorId="0" shapeId="0">
      <text>
        <r>
          <rPr>
            <sz val="12"/>
            <color indexed="81"/>
            <rFont val="Tahoma"/>
            <family val="2"/>
          </rPr>
          <t>If you choose not to purchase a "ready to use" processor then you will need to purchase each of the components to build your processor.  Enter the cost of the main reaction tank here.</t>
        </r>
      </text>
    </comment>
    <comment ref="A48" authorId="0" shapeId="0">
      <text>
        <r>
          <rPr>
            <sz val="12"/>
            <color indexed="81"/>
            <rFont val="Tahoma"/>
            <family val="2"/>
          </rPr>
          <t>Few ready to use processors are sold with equipment to recover the excess methanol used in the process. If you choose to purchase this equipment, enter the cost here.</t>
        </r>
      </text>
    </comment>
    <comment ref="A49" authorId="0" shapeId="0">
      <text>
        <r>
          <rPr>
            <sz val="12"/>
            <color indexed="81"/>
            <rFont val="Tahoma"/>
            <family val="2"/>
          </rPr>
          <t>After the transesterfication process is complete the glycerin and the biodiesel will both be in the reaction tank. Some small scale processors use gravity to separate the heavier glycerin from the biodiesel.  Other will purchase a centrifuge or other equipment to increase the speed of the process and the quality of the separation. Enter the cost of any separation equipment here.</t>
        </r>
      </text>
    </comment>
    <comment ref="A50" authorId="0" shapeId="0">
      <text>
        <r>
          <rPr>
            <sz val="12"/>
            <color indexed="81"/>
            <rFont val="Tahoma"/>
            <family val="2"/>
          </rPr>
          <t>After the transesterfication process and the initial biodiesel/glycerin separation the biodiesel is often washed to remove impurities.  This equipment may or may not be included with a "ready to use" processor".  Enter the cost of any biodiesel washing equipment here.</t>
        </r>
      </text>
    </comment>
    <comment ref="A51" authorId="0" shapeId="0">
      <text>
        <r>
          <rPr>
            <sz val="12"/>
            <color indexed="81"/>
            <rFont val="Tahoma"/>
            <family val="2"/>
          </rPr>
          <t>The biodiesel washing process often involves adding water to the biodiesel.  After the water has been drained from the biodiesel some water still remains in the fuel.  To remove this water the biodiesel can be dried.  Enter the cost of any equipment purchased to dry the biodiesel here.</t>
        </r>
      </text>
    </comment>
    <comment ref="A53" authorId="0" shapeId="0">
      <text>
        <r>
          <rPr>
            <sz val="12"/>
            <color indexed="81"/>
            <rFont val="Tahoma"/>
            <family val="2"/>
          </rPr>
          <t>Enter the cost of additional equipment purchased to process the biodiesel.  This may include: tank heaters, pumps, tables, tank stands, etc.</t>
        </r>
      </text>
    </comment>
    <comment ref="A60" authorId="0" shapeId="0">
      <text>
        <r>
          <rPr>
            <sz val="12"/>
            <color indexed="81"/>
            <rFont val="Tahoma"/>
            <family val="2"/>
          </rPr>
          <t>Enter the cost of additional equipment purchased pump the finished biodiesel in a vehicle.</t>
        </r>
      </text>
    </comment>
    <comment ref="A64" authorId="0" shapeId="0">
      <text>
        <r>
          <rPr>
            <sz val="12"/>
            <color indexed="81"/>
            <rFont val="Tahoma"/>
            <family val="2"/>
          </rPr>
          <t>The interest rate and the length of the loan are assumed to be the same for the oilseed crushing equipment.  To change these values, go to the oilseed crushing tab of this worksheet.</t>
        </r>
      </text>
    </comment>
    <comment ref="A83" authorId="0" shapeId="0">
      <text>
        <r>
          <rPr>
            <sz val="12"/>
            <color indexed="81"/>
            <rFont val="Tahoma"/>
            <family val="2"/>
          </rPr>
          <t>The biodiesel produced needs to be filtered after the reaction process is complete.  These filters will required replacement on a regular basis.  Enter the cost of a replacement filter and the expected number of gallons processed between each replacement.</t>
        </r>
      </text>
    </comment>
    <comment ref="A88" authorId="0" shapeId="0">
      <text>
        <r>
          <rPr>
            <b/>
            <sz val="12"/>
            <color indexed="81"/>
            <rFont val="Tahoma"/>
            <family val="2"/>
          </rPr>
          <t>P</t>
        </r>
        <r>
          <rPr>
            <sz val="12"/>
            <color indexed="81"/>
            <rFont val="Tahoma"/>
            <family val="2"/>
          </rPr>
          <t>rior to processing each batch a titration test is performed to allow for adjustments to the quantities of alcohol and catalyst needed for the transesterfication process.  Each titration test will use a small amount of Phenolphthalein solution.  Enter the cost and size of the Phenolphthalein (1% solution) here.  The worksheet will then calculate the cost for each 100 gallons produced.</t>
        </r>
      </text>
    </comment>
    <comment ref="A92" authorId="0" shapeId="0">
      <text>
        <r>
          <rPr>
            <sz val="12"/>
            <color indexed="81"/>
            <rFont val="Tahoma"/>
            <family val="2"/>
          </rPr>
          <t>The spreadsheet assumes that a set of three syringes will last for 20 titration tests.  Enter the cost a single syringe here.</t>
        </r>
      </text>
    </comment>
    <comment ref="A94" authorId="0" shapeId="0">
      <text>
        <r>
          <rPr>
            <sz val="12"/>
            <color indexed="81"/>
            <rFont val="Tahoma"/>
            <family val="2"/>
          </rPr>
          <t>Enter the annual cost of all other lab supplies here.  These costs may include: rubber gloves, safety glasses, lab coats, paper towels, mixing beakers, etc.</t>
        </r>
      </text>
    </comment>
    <comment ref="A95" authorId="0" shapeId="0">
      <text>
        <r>
          <rPr>
            <sz val="12"/>
            <color indexed="81"/>
            <rFont val="Tahoma"/>
            <family val="2"/>
          </rPr>
          <t>Enter the annual cost of any fuel additives purchased.</t>
        </r>
      </text>
    </comment>
    <comment ref="A100" authorId="0" shapeId="0">
      <text>
        <r>
          <rPr>
            <sz val="12"/>
            <color indexed="81"/>
            <rFont val="Tahoma"/>
            <family val="2"/>
          </rPr>
          <t>The hourly labor rate is assumed to be the same as the rate paid for oilseed processing.</t>
        </r>
      </text>
    </comment>
    <comment ref="A104" authorId="0" shapeId="0">
      <text>
        <r>
          <rPr>
            <sz val="12"/>
            <color indexed="81"/>
            <rFont val="Times New Roman"/>
            <family val="1"/>
          </rPr>
          <t xml:space="preserve">The hourly labor rate is assumed to be the same as the rate paid for oilseed processing.  Annual labor costs are estimated using an economic approach, i.e. using the value of labor, which may be the opportunity costs of labor used in this process.  See the IncomeExp_CashFlow tab of this spreadsheet to look at the differences between economic value and estimated actual out of pocket cash flow analysis. </t>
        </r>
      </text>
    </comment>
    <comment ref="A107" authorId="0" shapeId="0">
      <text>
        <r>
          <rPr>
            <sz val="12"/>
            <color indexed="81"/>
            <rFont val="Tahoma"/>
            <family val="2"/>
          </rPr>
          <t>Enter the cost of performing a fuel quality test or the cost of having a lab perform a test for you. A lab may charge over $1,000 per sample to certify the sample has met ASTM standards.</t>
        </r>
      </text>
    </comment>
    <comment ref="A108" authorId="0" shapeId="0">
      <text>
        <r>
          <rPr>
            <sz val="12"/>
            <color indexed="81"/>
            <rFont val="Tahoma"/>
            <family val="2"/>
          </rPr>
          <t>Enter how frequently this test will be performed.  Enter a one of the test will be performed on every batch of fuel; Enter a 3 if the test will be performed on every third batch of fuel.</t>
        </r>
      </text>
    </comment>
    <comment ref="A112" authorId="0" shapeId="0">
      <text>
        <r>
          <rPr>
            <sz val="12"/>
            <color indexed="81"/>
            <rFont val="Tahoma"/>
            <family val="2"/>
          </rPr>
          <t>Enter the cost of performing a fuel quality test or the cost of having a lab perform a test for you. A lab may charge over $1,000 per sample to certify the sample has met ASTM standards.</t>
        </r>
      </text>
    </comment>
    <comment ref="A113" authorId="0" shapeId="0">
      <text>
        <r>
          <rPr>
            <sz val="12"/>
            <color indexed="81"/>
            <rFont val="Tahoma"/>
            <family val="2"/>
          </rPr>
          <t>Enter how frequently this test will be performed.  Enter a one of the test will be performed on every batch of fuel; Enter a 3 if the test will be performed on every third batch of fuel.</t>
        </r>
      </text>
    </comment>
    <comment ref="A121" authorId="0" shapeId="0">
      <text>
        <r>
          <rPr>
            <sz val="12"/>
            <color indexed="81"/>
            <rFont val="Tahoma"/>
            <family val="2"/>
          </rPr>
          <t>Enter the total subsidies received from the federal government for each gallon of biodiesel produced.  These subsidies may include the Biodiesel Blenders Tax Credit ($1.00 per gallon blended if produced from virgin oil or $0.50 per gallon blended if produced from recycled oil) and the Small Producer Tax Credit of $0.10 per gallon produced.  For more information refer to AMPC Policy Issues Paper number 16 (available at www.ampc.montana.edu).</t>
        </r>
      </text>
    </comment>
    <comment ref="A122" authorId="0" shapeId="0">
      <text>
        <r>
          <rPr>
            <sz val="12"/>
            <color indexed="81"/>
            <rFont val="Tahoma"/>
            <family val="2"/>
          </rPr>
          <t>Enter any state subsidies received for biodiesel production that are based on the number of gallons produced.  This may include the $0.10 per gallon incentive described in MCA 15-70-601 or other state programs.</t>
        </r>
      </text>
    </comment>
    <comment ref="A125" authorId="0" shapeId="0">
      <text>
        <r>
          <rPr>
            <sz val="12"/>
            <color indexed="81"/>
            <rFont val="Tahoma"/>
            <family val="2"/>
          </rPr>
          <t>Enter the annual subsidy received for biodiesel related activities.  These subsidies may include grants or tax credits. Do not include subsidies based on each gallon produced.</t>
        </r>
      </text>
    </comment>
    <comment ref="A126" authorId="0" shapeId="0">
      <text>
        <r>
          <rPr>
            <sz val="12"/>
            <color indexed="81"/>
            <rFont val="Tahoma"/>
            <family val="2"/>
          </rPr>
          <t>Enter the annual subsidies received from the state for biodiesel related activities.  This may include tax credits, tax exemptions, and grants.  Do not enter any credits based on production levels.</t>
        </r>
      </text>
    </comment>
    <comment ref="A131" authorId="0" shapeId="0">
      <text>
        <r>
          <rPr>
            <sz val="12"/>
            <color indexed="81"/>
            <rFont val="Tahoma"/>
            <family val="2"/>
          </rPr>
          <t>Enter the price received for any glycerin sold.  Or the value of the glycerin if used on farm (for example if the glycerin is used as a heating oil).  Enter zero if the glycerin is not sold or used on farm.</t>
        </r>
      </text>
    </comment>
    <comment ref="A141" authorId="0" shapeId="0">
      <text>
        <r>
          <rPr>
            <sz val="12"/>
            <color indexed="81"/>
            <rFont val="Tahoma"/>
            <family val="2"/>
          </rPr>
          <t>The federal fuel tax for diesel and biodiesel fuel is 24.4 cents per gallon.</t>
        </r>
      </text>
    </comment>
    <comment ref="A142" authorId="0" shapeId="0">
      <text>
        <r>
          <rPr>
            <sz val="12"/>
            <color indexed="81"/>
            <rFont val="Tahoma"/>
            <family val="2"/>
          </rPr>
          <t>The Montana fuel tax for diesel and biodiesel fuel is 28.5 cents per gallon.</t>
        </r>
      </text>
    </comment>
  </commentList>
</comments>
</file>

<file path=xl/comments3.xml><?xml version="1.0" encoding="utf-8"?>
<comments xmlns="http://schemas.openxmlformats.org/spreadsheetml/2006/main">
  <authors>
    <author>Duane Griffith</author>
  </authors>
  <commentList>
    <comment ref="A10" authorId="0" shapeId="0">
      <text>
        <r>
          <rPr>
            <sz val="12"/>
            <color indexed="81"/>
            <rFont val="Times New Roman"/>
            <family val="1"/>
          </rPr>
          <t>This analysis uses a Financial Approach, including only cash inflows and outflows.  Some cash outflows may not be expenses, like principal payments on capital assets.  Some expenses may not be cash outflows, like depreciation on capital assets.</t>
        </r>
      </text>
    </comment>
    <comment ref="I10" authorId="0" shapeId="0">
      <text>
        <r>
          <rPr>
            <sz val="12"/>
            <color indexed="81"/>
            <rFont val="Times New Roman"/>
            <family val="1"/>
          </rPr>
          <t xml:space="preserve">This analysis uses an Economic approach, which includes the opportunity costs of resources used as well as some of the cash inflows and outflows.  </t>
        </r>
      </text>
    </comment>
    <comment ref="A27" authorId="0" shapeId="0">
      <text>
        <r>
          <rPr>
            <sz val="12"/>
            <color indexed="81"/>
            <rFont val="Times New Roman"/>
            <family val="1"/>
          </rPr>
          <t>Labor costs include here are only those paid in cash to hired labor or a paid family member.  The opportunity costs of unpaid labor is included in the Income/Expense Analysis to the right.</t>
        </r>
      </text>
    </comment>
    <comment ref="I27" authorId="0" shapeId="0">
      <text>
        <r>
          <rPr>
            <sz val="12"/>
            <color indexed="81"/>
            <rFont val="Times New Roman"/>
            <family val="1"/>
          </rPr>
          <t>The actual cash value and/or the opportunity costs of labor is included in the Income/Expense Analysis.  This analysis may shows labor costs even when the Cash Flow Analysis shows none.  This will be the case if labor is supplied by unpaid family labor.</t>
        </r>
      </text>
    </comment>
    <comment ref="I32" authorId="0" shapeId="0">
      <text>
        <r>
          <rPr>
            <sz val="12"/>
            <color indexed="81"/>
            <rFont val="Times New Roman"/>
            <family val="1"/>
          </rPr>
          <t>Uses opportunity costs of labor</t>
        </r>
      </text>
    </comment>
    <comment ref="A38" authorId="0" shapeId="0">
      <text>
        <r>
          <rPr>
            <sz val="12"/>
            <color indexed="81"/>
            <rFont val="Times New Roman"/>
            <family val="1"/>
          </rPr>
          <t xml:space="preserve">Since this sheet includes adjustments to information that is shown on the Oilseed Crushing and Biodiesel Production Tabs, the per gallon costs may not be the same as those calculated on the other sheets. 
</t>
        </r>
      </text>
    </comment>
  </commentList>
</comments>
</file>

<file path=xl/sharedStrings.xml><?xml version="1.0" encoding="utf-8"?>
<sst xmlns="http://schemas.openxmlformats.org/spreadsheetml/2006/main" count="449" uniqueCount="327">
  <si>
    <t>Re-Action Tank:</t>
  </si>
  <si>
    <t>Lab Equipment:</t>
  </si>
  <si>
    <t>Methanol recovery system:</t>
  </si>
  <si>
    <t>Biodiesel washing equipment</t>
  </si>
  <si>
    <t>Biodiesel drying equipment</t>
  </si>
  <si>
    <t>Oil</t>
  </si>
  <si>
    <t>Methanol</t>
  </si>
  <si>
    <t>Catalyst</t>
  </si>
  <si>
    <t>Interest Rate on Capital Investment</t>
  </si>
  <si>
    <t>Methanol (per gallon)</t>
  </si>
  <si>
    <t>Catalyst (per lbs.)</t>
  </si>
  <si>
    <t>Cost</t>
  </si>
  <si>
    <t>Material Storage Equipment</t>
  </si>
  <si>
    <t>Processing Equipment</t>
  </si>
  <si>
    <t>Final Product Storage Equipment</t>
  </si>
  <si>
    <t>Lab Scale (accuracy 0.01 grams)</t>
  </si>
  <si>
    <t>Lab Scale (accuracy 1.00 grams)</t>
  </si>
  <si>
    <t>Titration Kit</t>
  </si>
  <si>
    <t>Lab Chemicals</t>
  </si>
  <si>
    <t>Incoming oil filter</t>
  </si>
  <si>
    <t>Safety Equipment</t>
  </si>
  <si>
    <t>Fire Safety</t>
  </si>
  <si>
    <t xml:space="preserve">Valves and plumbing </t>
  </si>
  <si>
    <t>Methanol Storage:</t>
  </si>
  <si>
    <t>Ready to Use Processor</t>
  </si>
  <si>
    <t>Biodiesel/Glycerin Separation system</t>
  </si>
  <si>
    <t>Length of Loan (years)</t>
  </si>
  <si>
    <t>Annual Loan Payment</t>
  </si>
  <si>
    <t>Operating Costs</t>
  </si>
  <si>
    <t>Biodiesel Fueling Pump</t>
  </si>
  <si>
    <t>Input Costs</t>
  </si>
  <si>
    <t>Variable Costs per Gallon</t>
  </si>
  <si>
    <t>Subsidies</t>
  </si>
  <si>
    <t xml:space="preserve">   Total Subsidies per Gallon</t>
  </si>
  <si>
    <t>Processor #1</t>
  </si>
  <si>
    <t>Processor #2</t>
  </si>
  <si>
    <t>Summary</t>
  </si>
  <si>
    <t>Feed Stock Input</t>
  </si>
  <si>
    <t>Canola</t>
  </si>
  <si>
    <t>Camelina</t>
  </si>
  <si>
    <t>Safflower</t>
  </si>
  <si>
    <t>Mustard</t>
  </si>
  <si>
    <t>Seed Storage Bin</t>
  </si>
  <si>
    <t>Mechanical Press</t>
  </si>
  <si>
    <t>Power source for press</t>
  </si>
  <si>
    <t>Oil Storage Tank(s)</t>
  </si>
  <si>
    <t>Meal Storage Bin(s)</t>
  </si>
  <si>
    <t>Oil Filtration Equipment</t>
  </si>
  <si>
    <t>Press #1</t>
  </si>
  <si>
    <t>Press #2</t>
  </si>
  <si>
    <t>Meal Revenue</t>
  </si>
  <si>
    <t>Production Summary</t>
  </si>
  <si>
    <t>lbs.</t>
  </si>
  <si>
    <t>Unit</t>
  </si>
  <si>
    <t>Oil %</t>
  </si>
  <si>
    <t>Federal Fuel Tax</t>
  </si>
  <si>
    <t>Montana Fuel Tax</t>
  </si>
  <si>
    <t>Total Glycerin Revenue</t>
  </si>
  <si>
    <t>Ownership Costs</t>
  </si>
  <si>
    <t>Fuel Additive</t>
  </si>
  <si>
    <t>Option A</t>
  </si>
  <si>
    <t>Option B</t>
  </si>
  <si>
    <t>Process seed with Press #2 &amp; Biodiesel Processor #2</t>
  </si>
  <si>
    <t>Process seed with Press #1 &amp; Biodiesel Processor #1</t>
  </si>
  <si>
    <t xml:space="preserve">   Government Payments</t>
  </si>
  <si>
    <t>Cash Outflows</t>
  </si>
  <si>
    <t>Cash Inflows</t>
  </si>
  <si>
    <t xml:space="preserve"> Oilseed Processing</t>
  </si>
  <si>
    <t xml:space="preserve"> Biodiesel Processing</t>
  </si>
  <si>
    <t>Total Inflows</t>
  </si>
  <si>
    <t>Net Cash Flow</t>
  </si>
  <si>
    <t xml:space="preserve">          Per ton of feedstock</t>
  </si>
  <si>
    <t>Expenses</t>
  </si>
  <si>
    <t>Income</t>
  </si>
  <si>
    <t>Total Income</t>
  </si>
  <si>
    <t>Total Operating Expenses</t>
  </si>
  <si>
    <t>Total Expenses</t>
  </si>
  <si>
    <t>Instructions:</t>
  </si>
  <si>
    <t>Overview:</t>
  </si>
  <si>
    <t xml:space="preserve">    This spreadsheet is designed for producers considering small scale oilseed processing and biodiesel production.  The spreadsheet allows producers to enter crop prices, equipment (and other capital) costs, and operating costs that are specific to their operation.  The spreadsheet then transfers this information to a cash flow statement and an income statement.</t>
  </si>
  <si>
    <t>Cost of Oil Production</t>
  </si>
  <si>
    <t>Biodiesel Production Cost Before Tax</t>
  </si>
  <si>
    <t>Biodiesel Proportions</t>
  </si>
  <si>
    <t>Biodiesel Production Worksheet</t>
  </si>
  <si>
    <t>Help</t>
  </si>
  <si>
    <r>
      <t xml:space="preserve">Current </t>
    </r>
    <r>
      <rPr>
        <sz val="10"/>
        <rFont val="Arial"/>
      </rPr>
      <t>Petroleum Diesel Price (including taxes)</t>
    </r>
  </si>
  <si>
    <t>Other</t>
  </si>
  <si>
    <t>Oil Production (gallons recovered)</t>
  </si>
  <si>
    <t>Quantity Oil</t>
  </si>
  <si>
    <t>Seed Crop</t>
  </si>
  <si>
    <t>Potential</t>
  </si>
  <si>
    <t>Meal</t>
  </si>
  <si>
    <t>(Gallons)</t>
  </si>
  <si>
    <t>(Tons)</t>
  </si>
  <si>
    <t>Oil Recovery Rate</t>
  </si>
  <si>
    <t>Net Cash Revenue (or Economic Value)</t>
  </si>
  <si>
    <t>Annual Principal Payment</t>
  </si>
  <si>
    <t>Annual Interest  Payment</t>
  </si>
  <si>
    <t xml:space="preserve">   Meal Cash Sales</t>
  </si>
  <si>
    <t>Purchased</t>
  </si>
  <si>
    <t>(P or R)</t>
  </si>
  <si>
    <t>R</t>
  </si>
  <si>
    <t>P</t>
  </si>
  <si>
    <t>Total Annual Loan Payment (P &amp; I)</t>
  </si>
  <si>
    <t>Building/Housing</t>
  </si>
  <si>
    <t xml:space="preserve">Facilities hook up costs, electric, water, etc. </t>
  </si>
  <si>
    <t>Other #2</t>
  </si>
  <si>
    <t>Other #3</t>
  </si>
  <si>
    <t>Other #1</t>
  </si>
  <si>
    <t>Assumptions about this analysis:</t>
  </si>
  <si>
    <t xml:space="preserve">Cost of </t>
  </si>
  <si>
    <t>Production for</t>
  </si>
  <si>
    <t>Raised Crops</t>
  </si>
  <si>
    <t>Total Annual Taxes on Equipment/Capital Assets</t>
  </si>
  <si>
    <t>Added Annual Insurance on Equipment/Farm Coverage</t>
  </si>
  <si>
    <t>Annual Feedstock Costs</t>
  </si>
  <si>
    <t xml:space="preserve">          Per Gallon of Oil Produced</t>
  </si>
  <si>
    <t xml:space="preserve">        Per Gallon of Oil Produced</t>
  </si>
  <si>
    <t>Moisture loss in Meal during processing</t>
  </si>
  <si>
    <t>Oilseed Crushing Worksheet</t>
  </si>
  <si>
    <t>Number of batches required to process oil</t>
  </si>
  <si>
    <t>Total Annual Operating Costs for Crushing</t>
  </si>
  <si>
    <t>Labor Costs per ton of feedstock crushed</t>
  </si>
  <si>
    <t>Other Operating Costs</t>
  </si>
  <si>
    <t>Capital Equipment Costs (Fixed costs)</t>
  </si>
  <si>
    <t>Crushing Capacity (tons per day in a 24 hour day)</t>
  </si>
  <si>
    <t>Hours worked per day crushing</t>
  </si>
  <si>
    <t>Tons crushed per day based on hours worked</t>
  </si>
  <si>
    <t>Market Value of Feedstock used (Raised +  Purchased)</t>
  </si>
  <si>
    <r>
      <t>Price</t>
    </r>
    <r>
      <rPr>
        <sz val="10"/>
        <color indexed="10"/>
        <rFont val="Arial"/>
        <family val="2"/>
      </rPr>
      <t xml:space="preserve"> (Market Value)</t>
    </r>
    <r>
      <rPr>
        <sz val="10"/>
        <rFont val="Arial"/>
      </rPr>
      <t xml:space="preserve"> per ton of meal </t>
    </r>
  </si>
  <si>
    <t>Total Tons Meal Produced</t>
  </si>
  <si>
    <t>$/Kwh</t>
  </si>
  <si>
    <t>Tons of meal produced</t>
  </si>
  <si>
    <t>Gallons of oil produced</t>
  </si>
  <si>
    <t>Production</t>
  </si>
  <si>
    <t xml:space="preserve">Total Annual Costs </t>
  </si>
  <si>
    <t xml:space="preserve">        Ownership + Operating Cost</t>
  </si>
  <si>
    <t>Revenue/Value</t>
  </si>
  <si>
    <t>Total Annual Cost Less Meal Revenue/Value</t>
  </si>
  <si>
    <t>Parts in Mix</t>
  </si>
  <si>
    <t>Percent of Mix</t>
  </si>
  <si>
    <r>
      <t>Fill in all information in</t>
    </r>
    <r>
      <rPr>
        <b/>
        <sz val="10"/>
        <rFont val="Arial"/>
        <family val="2"/>
      </rPr>
      <t xml:space="preserve"> </t>
    </r>
    <r>
      <rPr>
        <b/>
        <sz val="10"/>
        <color indexed="12"/>
        <rFont val="Arial"/>
        <family val="2"/>
      </rPr>
      <t>blue text</t>
    </r>
    <r>
      <rPr>
        <b/>
        <sz val="10"/>
        <rFont val="Arial"/>
        <family val="2"/>
      </rPr>
      <t xml:space="preserve"> </t>
    </r>
    <r>
      <rPr>
        <sz val="10"/>
        <rFont val="Arial"/>
      </rPr>
      <t>that applies to this analysis</t>
    </r>
  </si>
  <si>
    <t xml:space="preserve">Other #1 </t>
  </si>
  <si>
    <t>Optional Tank Heater</t>
  </si>
  <si>
    <r>
      <t>Glycerin Revenue</t>
    </r>
    <r>
      <rPr>
        <sz val="10"/>
        <rFont val="Arial"/>
        <family val="2"/>
      </rPr>
      <t xml:space="preserve"> Per Gallon</t>
    </r>
  </si>
  <si>
    <t>Annual Gallons of Glycerin Produced as a by-product</t>
  </si>
  <si>
    <t>Processor Size, Gallons Per Batch</t>
  </si>
  <si>
    <t>Equipment Capacity and Hours Specifications</t>
  </si>
  <si>
    <t>Depreciation on Equipment (7 year straight line, zero salvage)</t>
  </si>
  <si>
    <t>Operating Costs (Variable Costs)</t>
  </si>
  <si>
    <t>Total Equipment Purchase Cost</t>
  </si>
  <si>
    <t xml:space="preserve">    Loan Principal Payment</t>
  </si>
  <si>
    <t xml:space="preserve">    Loan Interest Payment</t>
  </si>
  <si>
    <t>Total Cash Outflows</t>
  </si>
  <si>
    <t>Cash Flow and Income Expense (Net Income) Comparison</t>
  </si>
  <si>
    <t>Option A:</t>
  </si>
  <si>
    <t>Option B:</t>
  </si>
  <si>
    <t>Press Size--Tons Per 24 hours</t>
  </si>
  <si>
    <t>Batch Size--Gallons Per Batch</t>
  </si>
  <si>
    <t>Cost to Produce Oil as Input to Processing (per gallon)</t>
  </si>
  <si>
    <t>Flax</t>
  </si>
  <si>
    <t>Labor hours per ton of oilseed crushed (feedstock)</t>
  </si>
  <si>
    <t>Pump #1 (Pumps unprocessed oil into the processor)</t>
  </si>
  <si>
    <t>Biodiesel Storage Tanks</t>
  </si>
  <si>
    <t xml:space="preserve">  - Oilseed crops used for feedstock can be either purchased or raised.</t>
  </si>
  <si>
    <r>
      <t>Other Operating Costs</t>
    </r>
    <r>
      <rPr>
        <b/>
        <sz val="10"/>
        <rFont val="Arial"/>
        <family val="2"/>
      </rPr>
      <t xml:space="preserve">  </t>
    </r>
  </si>
  <si>
    <t>Other Annual Costs #2</t>
  </si>
  <si>
    <t xml:space="preserve">Other Annual Costs #1 </t>
  </si>
  <si>
    <t>Other Annual Costs #3</t>
  </si>
  <si>
    <t xml:space="preserve"> </t>
  </si>
  <si>
    <t>Electric Motor Size (rated by Horse Power)</t>
  </si>
  <si>
    <t>of Raised</t>
  </si>
  <si>
    <t>Per Unit</t>
  </si>
  <si>
    <t>Price</t>
  </si>
  <si>
    <t>Gallons of Oil</t>
  </si>
  <si>
    <t>Tons of Meal</t>
  </si>
  <si>
    <t>Total Seed Used (lbs)</t>
  </si>
  <si>
    <t>Annual Electricity Cost</t>
  </si>
  <si>
    <t>Motor Efficiency Rating</t>
  </si>
  <si>
    <t xml:space="preserve">Subtotal Other Annual Operating Costs </t>
  </si>
  <si>
    <t>Cost of replacement filter</t>
  </si>
  <si>
    <t>Number of gallons processed by each filter</t>
  </si>
  <si>
    <t>Annual Cost of all other lab supplies</t>
  </si>
  <si>
    <t>Methanol Cost (Annual)</t>
  </si>
  <si>
    <t>Catalyst Cost (Annual)</t>
  </si>
  <si>
    <t xml:space="preserve">Other Annual Cost #1 </t>
  </si>
  <si>
    <t>Other Annual Cost #2</t>
  </si>
  <si>
    <t>Other Annual Cost #3</t>
  </si>
  <si>
    <t>Annual Filter Cost</t>
  </si>
  <si>
    <t>Annual Phenolphthalein Cost</t>
  </si>
  <si>
    <t>Size of Phenolphthalein Bottle (measured in mL)</t>
  </si>
  <si>
    <t>Cost of Phenolphthalein  (1% Solution)</t>
  </si>
  <si>
    <t>Cost of Titration Syringe (one)</t>
  </si>
  <si>
    <t>Labor Hours per batch</t>
  </si>
  <si>
    <t xml:space="preserve">    Operating Costs (Excluding Labor)</t>
  </si>
  <si>
    <t xml:space="preserve">    Labor Costs</t>
  </si>
  <si>
    <t>Other Federal Subsidies (Annual)</t>
  </si>
  <si>
    <t>Other State Subsidies (Annual)</t>
  </si>
  <si>
    <t>Federal Subsidies Per Gallon</t>
  </si>
  <si>
    <t>State Subsidies Per Gallon</t>
  </si>
  <si>
    <t>Total Per Gallon</t>
  </si>
  <si>
    <t>Total Subsides</t>
  </si>
  <si>
    <t>Total Other Subsidies (Annual)</t>
  </si>
  <si>
    <t xml:space="preserve">   Costs offset by Glycerin Revenue per Gallon</t>
  </si>
  <si>
    <t>Total Seed Used (tons)</t>
  </si>
  <si>
    <t xml:space="preserve">Total number of days required to crush feedstock </t>
  </si>
  <si>
    <t>Hourly Labor Cost (Wages, Benefits, Payroll Taxes, etc.)</t>
  </si>
  <si>
    <t>Transportation costs per ton of meal</t>
  </si>
  <si>
    <r>
      <t xml:space="preserve">Annual </t>
    </r>
    <r>
      <rPr>
        <sz val="10"/>
        <rFont val="Arial"/>
      </rPr>
      <t>Repair &amp; Maintenance Cost</t>
    </r>
  </si>
  <si>
    <t>Catalyst Storage:</t>
  </si>
  <si>
    <t>Glycerin Storage Tanks</t>
  </si>
  <si>
    <t>Annual Syringe Cost</t>
  </si>
  <si>
    <t>Reduced Petroleum Diesel Expense</t>
  </si>
  <si>
    <t xml:space="preserve">   Glycerin Sales</t>
  </si>
  <si>
    <t>*Note: uses 7 year straight line depreciation</t>
  </si>
  <si>
    <t>Net Operating Income</t>
  </si>
  <si>
    <t>Photo of a 1 ton per day press with no motor</t>
  </si>
  <si>
    <t>Photo of a 400 gallon per batch biodiesel processor</t>
  </si>
  <si>
    <t>Photo of part of a home build biodiesel processor</t>
  </si>
  <si>
    <t>Note: If you find any errors or have any suggestions for improvements please email them to jschumacher@montana.edu.</t>
  </si>
  <si>
    <t>Photo of a 5 ton per day press with an electic motor</t>
  </si>
  <si>
    <t>The programs of the MSU Extension Service are available to all people regardless of race, color, national origin, gender,</t>
  </si>
  <si>
    <t>religion, age, disability, political beliefs, sexual orientation, and marital or family status. Issued in furtherance of cooperative</t>
  </si>
  <si>
    <t>extension work in agriculture and home economics, acts of May 8 and June 30, 1914, in cooperation with the U.S. Department</t>
  </si>
  <si>
    <t>We encourage the use of this document for nonprofit educational purposes. This document may be reprinted if no endorsement of a commercial</t>
  </si>
  <si>
    <t>product, service or company is stated or implied, and if appropriate credit is given to the author and the MSU Extension Service. To use these</t>
  </si>
  <si>
    <t>documents in electronic formats, permission must be sought from the Ag/Extension Communications Coordinator, Communications Services,</t>
  </si>
  <si>
    <t>416 Culbertson Hall, Montana State University-Bozeman, Bozeman, MT 59717; (406) 994-2721; E-mail - publications@montana.edu.</t>
  </si>
  <si>
    <t>Fuel Quality Testing</t>
  </si>
  <si>
    <t>Frequency of Test #1</t>
  </si>
  <si>
    <t>Cost of Test #2</t>
  </si>
  <si>
    <t>Frequency of Test #2</t>
  </si>
  <si>
    <t xml:space="preserve">  Cost per gallon of fuel</t>
  </si>
  <si>
    <t>Cost of Test #1</t>
  </si>
  <si>
    <t xml:space="preserve">  Annual Cost of Test #1</t>
  </si>
  <si>
    <t xml:space="preserve">  Annual Cost of Test #2</t>
  </si>
  <si>
    <t>Government Payments</t>
  </si>
  <si>
    <t>Cost of Purchased Oil</t>
  </si>
  <si>
    <t>Gallons of Oil Purchased</t>
  </si>
  <si>
    <t>Cost of Raw Oil (from Oilseed Crushing Tab)</t>
  </si>
  <si>
    <t>Average Cost of Oil (per gallon)</t>
  </si>
  <si>
    <t>Purchased Oil Cost (Annual)</t>
  </si>
  <si>
    <t xml:space="preserve">    The spreadsheet has default data entered for a sample oilseed press and a biodiesel processor.  The sample data can be analyzed without any additional information from the user. A second column is provided for users to enter data for another oilseed press and biodiesel processor.  The sample data can also be changed by the user to compare various options available to them.</t>
  </si>
  <si>
    <t xml:space="preserve">   If you would like to customize the spreadsheet to your specific operation, begin with the "Oilseed Processing" worksheet (Oilseed Crushing Tab).   The first portion allows users to enter price, quantity and oil content of several different oilseed crops commonly grown in Montana.  The second portion allows users to enter oilseed processing equipment specifications and prices. (Please note that the worksheet allows two different processors to be compared at one time, if you are only considering one processor ignore the second column).  The third portion allows users to enter information about financing the oilseed processing equipment.  The final section allows users to input operating costs.  Once the "Oilseed Processing" worksheet is complete, move on the "Biodiesel Production" worksheet (Biodiesel Production Tab).  The first section of this worksheet allows users to enter input costs and the biodiesel manufacturing proportions.  </t>
  </si>
  <si>
    <t xml:space="preserve">  The second portion allows users to enter biodiesel processing equipment specifications and costs. The third section allows user to input operating costs.  The final section allows users to enter federal and state subsidy information as well as the price per gallon of glycerin and petroleum diesel fuel.  The data entry should be complete at this point. Summary information is provided at the bottom of both the "Oilseed Processing" and the "Biodiesel Production" worksheets.  The "Cash Flow" and "Income Statement" worksheet (IncomeExp_CashFlow Tab) will be automatically updated based on the information you have entered.</t>
  </si>
  <si>
    <t xml:space="preserve">  - Biodiesel produced is used to offset diesel purchases for farm or ranch use.</t>
  </si>
  <si>
    <t>of Agriculture, Dr. Douglas Steele, Vice Provost and Director, Extension Service, Montana State University, Bozeman, MT 59715.</t>
  </si>
  <si>
    <t>There are no warranties to buyer or any other person or entity for the materials, expressed or implied, including, but not limited to the implied warranties of merchantability and fitness for a particular purpose; all such warranties are expressly and specifically disclaimed.</t>
  </si>
  <si>
    <t>Montana State University and the Extension Service assume no liability or responsibility to any person or entity for damage caused, or alleged to be caused, either directly or indirectly, by computer programs furnished thereby.  This waiver includes, but is not limited to, interruption of service, loss of business or anticipatory profits, indirect, special or consequential damages, or delayed delivery of this or any program.</t>
  </si>
  <si>
    <r>
      <t xml:space="preserve">Purchase Cost of </t>
    </r>
    <r>
      <rPr>
        <b/>
        <sz val="10"/>
        <color indexed="10"/>
        <rFont val="Arial"/>
        <family val="2"/>
      </rPr>
      <t>Biodiesel Production</t>
    </r>
    <r>
      <rPr>
        <b/>
        <sz val="10"/>
        <rFont val="Arial"/>
        <family val="2"/>
      </rPr>
      <t xml:space="preserve"> Equipment (Fixed Costs)</t>
    </r>
  </si>
  <si>
    <r>
      <t xml:space="preserve">Operating Costs (Variable Costs) - </t>
    </r>
    <r>
      <rPr>
        <b/>
        <sz val="10"/>
        <color indexed="10"/>
        <rFont val="Arial"/>
        <family val="2"/>
      </rPr>
      <t>Biodiesel Production Only</t>
    </r>
  </si>
  <si>
    <t>Total Annual Operating Costs for Biodiesel Processing</t>
  </si>
  <si>
    <r>
      <t>Subtotal</t>
    </r>
    <r>
      <rPr>
        <sz val="10"/>
        <color indexed="8"/>
        <rFont val="Arial"/>
        <family val="2"/>
      </rPr>
      <t xml:space="preserve"> Annual L</t>
    </r>
    <r>
      <rPr>
        <sz val="10"/>
        <rFont val="Arial"/>
      </rPr>
      <t>abor Costs for Crushing</t>
    </r>
  </si>
  <si>
    <t>Total Meal Revenue/Market Value</t>
  </si>
  <si>
    <t xml:space="preserve">   Meal Value or Sales</t>
  </si>
  <si>
    <t xml:space="preserve"> Seed Cash Costs (purchased + raised)</t>
  </si>
  <si>
    <t xml:space="preserve"> Seed Costs at Market Value</t>
  </si>
  <si>
    <t>Total Seed</t>
  </si>
  <si>
    <t>Market Value</t>
  </si>
  <si>
    <t>Purchase</t>
  </si>
  <si>
    <t>Raised</t>
  </si>
  <si>
    <t>Minus Cost</t>
  </si>
  <si>
    <t>Costs</t>
  </si>
  <si>
    <t>Difference</t>
  </si>
  <si>
    <t>Subtotals</t>
  </si>
  <si>
    <t>Total Purchased and Raised Cash Costs</t>
  </si>
  <si>
    <t>Total Market Value</t>
  </si>
  <si>
    <t>Depreciation*</t>
  </si>
  <si>
    <t>This Worksheet is avaliable at:</t>
  </si>
  <si>
    <t>www.ampc.montana.edu/energyinformation.html</t>
  </si>
  <si>
    <t>Used (LBS)</t>
  </si>
  <si>
    <t>Percent of Labor Costs paid in cash</t>
  </si>
  <si>
    <t>Summary of Economic Revenue &amp; Costs (See IncomeExp-CashFlow tab for Financial Summary</t>
  </si>
  <si>
    <t>Percent of labor costs paid as cash wages</t>
  </si>
  <si>
    <t>Hourly Labor Rate (cash paid or value of)</t>
  </si>
  <si>
    <t>Economic Value of Labor Cost per batch</t>
  </si>
  <si>
    <t>Annual Labor Cost (economic value)</t>
  </si>
  <si>
    <t xml:space="preserve">Income/Expense Analysis -- Uses Economic Analysis </t>
  </si>
  <si>
    <t>Cash Flow Analysis -- Financial Analysis Approach</t>
  </si>
  <si>
    <r>
      <t xml:space="preserve">Depreciation </t>
    </r>
    <r>
      <rPr>
        <sz val="10"/>
        <color indexed="10"/>
        <rFont val="Arial"/>
        <family val="2"/>
      </rPr>
      <t>(not a cash expense)</t>
    </r>
  </si>
  <si>
    <t>Total Operating Cash Outflows</t>
  </si>
  <si>
    <t>Cash Outflow Per Gallon</t>
  </si>
  <si>
    <t>Net Cash Flow Per Gallon</t>
  </si>
  <si>
    <t>Total Expense Per Gallon</t>
  </si>
  <si>
    <t>Net Operating Income Per Gallon</t>
  </si>
  <si>
    <t xml:space="preserve">   Total Costs per Gallon (estimate is not cash flow adjusted)</t>
  </si>
  <si>
    <t>Adjustment (Market Value minus Cost)</t>
  </si>
  <si>
    <t>Cost of Raised Feedstock</t>
  </si>
  <si>
    <t>Cost of Purchased Feedstock</t>
  </si>
  <si>
    <t xml:space="preserve">        Net Per Ton of Meal</t>
  </si>
  <si>
    <t>Enter the percent of the meal sold for cash</t>
  </si>
  <si>
    <t>Subtotal Operating Costs</t>
  </si>
  <si>
    <t xml:space="preserve">Average gallons of oil produced per day </t>
  </si>
  <si>
    <t>Average Cost of Oil (Including Seed and Crushing Costs)</t>
  </si>
  <si>
    <t>Biodiesel Processing Costs Per Gallon</t>
  </si>
  <si>
    <t>Total Costs Per Gallon</t>
  </si>
  <si>
    <t>Net Cost Per Gallon (before fuel taxes)</t>
  </si>
  <si>
    <t>Biodiesel Production Cost (including fuel taxes)</t>
  </si>
  <si>
    <t>Minus Glycern Revenue &amp; Subsidies</t>
  </si>
  <si>
    <t xml:space="preserve">  Meal Cash Sales</t>
  </si>
  <si>
    <t xml:space="preserve">  Meal On-Farm Use</t>
  </si>
  <si>
    <t xml:space="preserve">    Fuel Taxes</t>
  </si>
  <si>
    <t xml:space="preserve">   Diesel Sales (cost reduction)</t>
  </si>
  <si>
    <t>Cash Inflow Per Gallon</t>
  </si>
  <si>
    <t>Total Equipment Cost (Depreciation, Interest, Taxes, Insurance)</t>
  </si>
  <si>
    <t>Other Annual Equipment Costs</t>
  </si>
  <si>
    <t>Capital Costs per Gallon (Depreciation, Interest, Tax &amp; Insurance)</t>
  </si>
  <si>
    <t>Net Profit or Loss Per Gallon</t>
  </si>
  <si>
    <t xml:space="preserve">        Per ton of oilseed feedstock crushed</t>
  </si>
  <si>
    <t>Total Oilseed Processing Equipment Purchase Costs</t>
  </si>
  <si>
    <t>Total tons of oilseed used as feedstock</t>
  </si>
  <si>
    <r>
      <t xml:space="preserve">   Cells with </t>
    </r>
    <r>
      <rPr>
        <sz val="10"/>
        <color indexed="12"/>
        <rFont val="Arial"/>
        <family val="2"/>
      </rPr>
      <t>Blue</t>
    </r>
    <r>
      <rPr>
        <sz val="10"/>
        <rFont val="Arial"/>
      </rPr>
      <t xml:space="preserve"> text indicate cells that are designed for information provided by the user of the spreadsheet.  Many of these cells have default values already entered, you may want to change this information to reflect your specific operation.  Cells that do not have blue text should not be changed.  This information applies to all worksheets in this spreadsheet.</t>
    </r>
  </si>
  <si>
    <t>Total Gallons of Biodiesel Produced</t>
  </si>
  <si>
    <t>Gallons of Oil Produced</t>
  </si>
  <si>
    <t>Annual Gallons of Oil to Process (Purchased + Produced)</t>
  </si>
  <si>
    <t>This publication was developed with financial support from Montana's Agro-energy Plan (sponsored by USDOL ETA).</t>
  </si>
  <si>
    <t>Version: 6/2/2011</t>
  </si>
  <si>
    <t>Small Scale Oilseed Processing</t>
  </si>
  <si>
    <t>Developed by:</t>
  </si>
  <si>
    <t>Joel Schumacher</t>
  </si>
  <si>
    <t>Associate Specialist</t>
  </si>
  <si>
    <t>Montana State University Extension</t>
  </si>
  <si>
    <t>jschumacher@montana.edu</t>
  </si>
  <si>
    <t>406-994-6637</t>
  </si>
  <si>
    <t>&amp; Biodiesel Production</t>
  </si>
  <si>
    <t>Cash Flow and Income/Expense</t>
  </si>
  <si>
    <t>Estimatation Tool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</si>
</sst>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8" formatCode="&quot;$&quot;#,##0.00_);[Red]\(&quot;$&quot;#,##0.00\)"/>
    <numFmt numFmtId="164" formatCode="&quot;$&quot;#,##0.00"/>
    <numFmt numFmtId="165" formatCode="&quot;$&quot;#,##0.000"/>
    <numFmt numFmtId="166" formatCode="&quot;$&quot;#,##0.000_);[Red]\(&quot;$&quot;#,##0.000\)"/>
    <numFmt numFmtId="167" formatCode="0.0%"/>
    <numFmt numFmtId="168" formatCode="#,##0.0"/>
    <numFmt numFmtId="169" formatCode="#,##0.000"/>
    <numFmt numFmtId="170" formatCode="#,##0.0_);[Red]\(#,##0.0\)"/>
    <numFmt numFmtId="171" formatCode="&quot;$&quot;#,##0"/>
  </numFmts>
  <fonts count="33" x14ac:knownFonts="1">
    <font>
      <sz val="10"/>
      <name val="Arial"/>
    </font>
    <font>
      <sz val="10"/>
      <name val="Arial"/>
    </font>
    <font>
      <b/>
      <sz val="10"/>
      <name val="Arial"/>
      <family val="2"/>
    </font>
    <font>
      <b/>
      <u/>
      <sz val="10"/>
      <name val="Arial"/>
      <family val="2"/>
    </font>
    <font>
      <sz val="8"/>
      <name val="Arial"/>
    </font>
    <font>
      <sz val="10"/>
      <name val="Arial"/>
      <family val="2"/>
    </font>
    <font>
      <i/>
      <u/>
      <sz val="10"/>
      <name val="Arial"/>
      <family val="2"/>
    </font>
    <font>
      <u/>
      <sz val="10"/>
      <name val="Arial"/>
    </font>
    <font>
      <b/>
      <sz val="14"/>
      <name val="Arial"/>
      <family val="2"/>
    </font>
    <font>
      <u/>
      <sz val="10"/>
      <color indexed="12"/>
      <name val="Arial"/>
    </font>
    <font>
      <b/>
      <sz val="11"/>
      <name val="Arial"/>
      <family val="2"/>
    </font>
    <font>
      <b/>
      <sz val="12"/>
      <color indexed="81"/>
      <name val="Tahoma"/>
      <family val="2"/>
    </font>
    <font>
      <sz val="10"/>
      <color indexed="10"/>
      <name val="Arial"/>
      <family val="2"/>
    </font>
    <font>
      <b/>
      <sz val="10"/>
      <color indexed="10"/>
      <name val="Arial"/>
      <family val="2"/>
    </font>
    <font>
      <sz val="10"/>
      <color indexed="12"/>
      <name val="Arial"/>
    </font>
    <font>
      <b/>
      <sz val="10"/>
      <color indexed="12"/>
      <name val="Arial"/>
      <family val="2"/>
    </font>
    <font>
      <sz val="10"/>
      <color indexed="10"/>
      <name val="Arial"/>
    </font>
    <font>
      <b/>
      <sz val="10"/>
      <color indexed="16"/>
      <name val="Arial"/>
      <family val="2"/>
    </font>
    <font>
      <sz val="10"/>
      <color indexed="81"/>
      <name val="Tahoma"/>
      <family val="2"/>
    </font>
    <font>
      <b/>
      <i/>
      <u/>
      <sz val="10"/>
      <name val="Arial"/>
      <family val="2"/>
    </font>
    <font>
      <b/>
      <i/>
      <sz val="10"/>
      <name val="Arial"/>
      <family val="2"/>
    </font>
    <font>
      <sz val="11"/>
      <name val="Arial"/>
      <family val="2"/>
    </font>
    <font>
      <sz val="10"/>
      <color indexed="9"/>
      <name val="Arial"/>
      <family val="2"/>
    </font>
    <font>
      <sz val="12"/>
      <color indexed="81"/>
      <name val="Tahoma"/>
      <family val="2"/>
    </font>
    <font>
      <b/>
      <u/>
      <sz val="10"/>
      <color indexed="81"/>
      <name val="Tahoma"/>
      <family val="2"/>
    </font>
    <font>
      <sz val="10"/>
      <color indexed="12"/>
      <name val="Arial"/>
      <family val="2"/>
    </font>
    <font>
      <sz val="10"/>
      <color indexed="8"/>
      <name val="Arial"/>
    </font>
    <font>
      <sz val="10"/>
      <color indexed="8"/>
      <name val="Arial"/>
      <family val="2"/>
    </font>
    <font>
      <u/>
      <sz val="14"/>
      <name val="Arial"/>
      <family val="2"/>
    </font>
    <font>
      <sz val="12"/>
      <color indexed="81"/>
      <name val="Times New Roman"/>
      <family val="1"/>
    </font>
    <font>
      <sz val="14"/>
      <name val="Arial"/>
      <family val="2"/>
    </font>
    <font>
      <sz val="20"/>
      <name val="Arial"/>
      <family val="2"/>
    </font>
    <font>
      <b/>
      <sz val="10"/>
      <color rgb="FF000000"/>
      <name val="Arial"/>
      <family val="2"/>
    </font>
  </fonts>
  <fills count="7">
    <fill>
      <patternFill patternType="none"/>
    </fill>
    <fill>
      <patternFill patternType="gray125"/>
    </fill>
    <fill>
      <patternFill patternType="solid">
        <fgColor indexed="9"/>
        <bgColor indexed="64"/>
      </patternFill>
    </fill>
    <fill>
      <patternFill patternType="solid">
        <fgColor indexed="16"/>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249">
    <xf numFmtId="0" fontId="0" fillId="0" borderId="0" xfId="0"/>
    <xf numFmtId="0" fontId="2" fillId="0" borderId="0" xfId="0" applyFont="1"/>
    <xf numFmtId="0" fontId="0" fillId="0" borderId="0" xfId="0" applyAlignment="1">
      <alignment horizontal="center"/>
    </xf>
    <xf numFmtId="164" fontId="0" fillId="0" borderId="0" xfId="0" applyNumberFormat="1"/>
    <xf numFmtId="8" fontId="0" fillId="0" borderId="0" xfId="0" applyNumberFormat="1"/>
    <xf numFmtId="10" fontId="0" fillId="0" borderId="0" xfId="2" applyNumberFormat="1" applyFont="1"/>
    <xf numFmtId="0" fontId="6" fillId="0" borderId="0" xfId="0" applyFont="1"/>
    <xf numFmtId="0" fontId="0" fillId="0" borderId="1" xfId="0" applyBorder="1"/>
    <xf numFmtId="0" fontId="8" fillId="0" borderId="0" xfId="0" applyFont="1"/>
    <xf numFmtId="0" fontId="2" fillId="0" borderId="1" xfId="0" applyFont="1" applyBorder="1"/>
    <xf numFmtId="0" fontId="5" fillId="0" borderId="1" xfId="0" applyFont="1" applyBorder="1"/>
    <xf numFmtId="3" fontId="0" fillId="0" borderId="0" xfId="0" applyNumberFormat="1" applyBorder="1"/>
    <xf numFmtId="0" fontId="2" fillId="0" borderId="0" xfId="0" applyFont="1" applyBorder="1"/>
    <xf numFmtId="164" fontId="2" fillId="0" borderId="0" xfId="0" applyNumberFormat="1" applyFont="1" applyBorder="1"/>
    <xf numFmtId="0" fontId="0" fillId="0" borderId="0" xfId="0" applyFill="1" applyBorder="1"/>
    <xf numFmtId="164" fontId="5" fillId="0" borderId="0" xfId="0" applyNumberFormat="1" applyFont="1" applyBorder="1"/>
    <xf numFmtId="0" fontId="0" fillId="0" borderId="0" xfId="0" applyBorder="1"/>
    <xf numFmtId="10" fontId="0" fillId="0" borderId="0" xfId="2" applyNumberFormat="1" applyFont="1" applyBorder="1"/>
    <xf numFmtId="0" fontId="7" fillId="0" borderId="0" xfId="0" applyFont="1"/>
    <xf numFmtId="0" fontId="0" fillId="0" borderId="0" xfId="0" applyAlignment="1"/>
    <xf numFmtId="40" fontId="0" fillId="0" borderId="0" xfId="0" applyNumberFormat="1" applyAlignment="1">
      <alignment horizontal="center"/>
    </xf>
    <xf numFmtId="40" fontId="0" fillId="0" borderId="0" xfId="0" applyNumberFormat="1"/>
    <xf numFmtId="0" fontId="0" fillId="2" borderId="0" xfId="0" applyFill="1" applyBorder="1"/>
    <xf numFmtId="0" fontId="3" fillId="2" borderId="0" xfId="0" applyFont="1" applyFill="1" applyBorder="1"/>
    <xf numFmtId="0" fontId="0" fillId="2" borderId="0" xfId="0" applyFill="1" applyBorder="1" applyAlignment="1">
      <alignment wrapText="1"/>
    </xf>
    <xf numFmtId="49" fontId="0" fillId="2" borderId="0" xfId="0" applyNumberFormat="1" applyFill="1" applyBorder="1" applyAlignment="1">
      <alignment wrapText="1"/>
    </xf>
    <xf numFmtId="0" fontId="0" fillId="0" borderId="0" xfId="0" applyAlignment="1">
      <alignment wrapText="1"/>
    </xf>
    <xf numFmtId="0" fontId="0" fillId="3" borderId="0" xfId="0" applyFill="1"/>
    <xf numFmtId="49" fontId="0" fillId="0" borderId="1" xfId="0" applyNumberFormat="1" applyBorder="1" applyAlignment="1">
      <alignment horizontal="center" wrapText="1"/>
    </xf>
    <xf numFmtId="0" fontId="2" fillId="4" borderId="0" xfId="0" applyFont="1" applyFill="1" applyAlignment="1">
      <alignment horizontal="center"/>
    </xf>
    <xf numFmtId="0" fontId="5" fillId="0" borderId="0" xfId="0" applyFont="1" applyBorder="1"/>
    <xf numFmtId="0" fontId="0" fillId="0" borderId="1" xfId="0" applyBorder="1" applyAlignment="1">
      <alignment horizontal="center"/>
    </xf>
    <xf numFmtId="0" fontId="15" fillId="0" borderId="0" xfId="0" applyFont="1" applyBorder="1"/>
    <xf numFmtId="8" fontId="0" fillId="0" borderId="0" xfId="0" applyNumberFormat="1" applyBorder="1"/>
    <xf numFmtId="0" fontId="0" fillId="0" borderId="0" xfId="0" applyBorder="1" applyAlignment="1">
      <alignment horizontal="right"/>
    </xf>
    <xf numFmtId="8" fontId="15" fillId="0" borderId="0" xfId="0" applyNumberFormat="1" applyFont="1" applyFill="1" applyBorder="1"/>
    <xf numFmtId="0" fontId="2" fillId="0" borderId="0" xfId="0" applyFont="1" applyFill="1" applyBorder="1"/>
    <xf numFmtId="6" fontId="0" fillId="0" borderId="0" xfId="0" applyNumberFormat="1"/>
    <xf numFmtId="0" fontId="0" fillId="0" borderId="2" xfId="0" applyFill="1" applyBorder="1"/>
    <xf numFmtId="6" fontId="0" fillId="0" borderId="0" xfId="0" applyNumberFormat="1" applyBorder="1"/>
    <xf numFmtId="0" fontId="0" fillId="0" borderId="0" xfId="0" applyAlignment="1">
      <alignment horizontal="right"/>
    </xf>
    <xf numFmtId="165" fontId="0" fillId="0" borderId="0" xfId="0" applyNumberFormat="1" applyBorder="1" applyAlignment="1">
      <alignment horizontal="right"/>
    </xf>
    <xf numFmtId="165" fontId="0" fillId="0" borderId="0" xfId="0" applyNumberFormat="1" applyBorder="1" applyAlignment="1">
      <alignment horizontal="left"/>
    </xf>
    <xf numFmtId="0" fontId="2" fillId="0" borderId="0" xfId="0" applyFont="1" applyAlignment="1">
      <alignment horizontal="center"/>
    </xf>
    <xf numFmtId="0" fontId="13" fillId="0" borderId="0" xfId="0" applyFont="1" applyFill="1" applyBorder="1"/>
    <xf numFmtId="0" fontId="2" fillId="0" borderId="0" xfId="0" applyFont="1" applyFill="1" applyBorder="1" applyAlignment="1">
      <alignment horizontal="center"/>
    </xf>
    <xf numFmtId="0" fontId="19" fillId="0" borderId="0" xfId="0" applyFont="1"/>
    <xf numFmtId="167" fontId="0" fillId="0" borderId="0" xfId="0" applyNumberFormat="1" applyBorder="1"/>
    <xf numFmtId="6" fontId="15" fillId="0" borderId="0" xfId="0" applyNumberFormat="1" applyFont="1" applyFill="1" applyBorder="1"/>
    <xf numFmtId="0" fontId="0" fillId="0" borderId="3" xfId="0" applyFill="1" applyBorder="1"/>
    <xf numFmtId="164" fontId="0" fillId="0" borderId="0" xfId="0" applyNumberFormat="1" applyBorder="1" applyAlignment="1">
      <alignment horizontal="right"/>
    </xf>
    <xf numFmtId="164" fontId="2" fillId="0" borderId="0" xfId="0" applyNumberFormat="1" applyFont="1" applyBorder="1" applyAlignment="1">
      <alignment horizontal="right"/>
    </xf>
    <xf numFmtId="171" fontId="0" fillId="0" borderId="0" xfId="0" applyNumberFormat="1" applyBorder="1"/>
    <xf numFmtId="6" fontId="0" fillId="0" borderId="4" xfId="0" applyNumberFormat="1" applyBorder="1"/>
    <xf numFmtId="0" fontId="0" fillId="0" borderId="0" xfId="0" applyAlignment="1">
      <alignment horizontal="left"/>
    </xf>
    <xf numFmtId="0" fontId="16" fillId="0" borderId="0" xfId="0" applyFont="1" applyAlignment="1">
      <alignment horizontal="left"/>
    </xf>
    <xf numFmtId="0" fontId="20" fillId="4" borderId="1" xfId="0" applyFont="1" applyFill="1" applyBorder="1"/>
    <xf numFmtId="38" fontId="0" fillId="0" borderId="0" xfId="0" applyNumberFormat="1" applyAlignment="1">
      <alignment horizontal="center"/>
    </xf>
    <xf numFmtId="0" fontId="21" fillId="0" borderId="1" xfId="0" applyFont="1" applyBorder="1" applyAlignment="1">
      <alignment horizontal="center"/>
    </xf>
    <xf numFmtId="0" fontId="16" fillId="0" borderId="0" xfId="0" applyFont="1" applyAlignment="1"/>
    <xf numFmtId="3" fontId="0" fillId="0" borderId="0" xfId="0" applyNumberFormat="1" applyBorder="1" applyAlignment="1">
      <alignment horizontal="right"/>
    </xf>
    <xf numFmtId="0" fontId="2" fillId="0" borderId="2" xfId="0" applyFont="1" applyBorder="1" applyAlignment="1">
      <alignment horizontal="center"/>
    </xf>
    <xf numFmtId="8" fontId="0" fillId="2" borderId="0" xfId="0" applyNumberFormat="1" applyFill="1" applyBorder="1"/>
    <xf numFmtId="0" fontId="22" fillId="0" borderId="0" xfId="0" applyFont="1" applyFill="1" applyBorder="1"/>
    <xf numFmtId="38" fontId="0" fillId="0" borderId="0" xfId="0" applyNumberFormat="1"/>
    <xf numFmtId="164" fontId="26" fillId="0" borderId="0" xfId="0" applyNumberFormat="1" applyFont="1" applyBorder="1" applyAlignment="1">
      <alignment horizontal="right"/>
    </xf>
    <xf numFmtId="0" fontId="26" fillId="0" borderId="1" xfId="0" applyFont="1" applyBorder="1"/>
    <xf numFmtId="0" fontId="3" fillId="0" borderId="0" xfId="0" applyFont="1"/>
    <xf numFmtId="0" fontId="3" fillId="0" borderId="0" xfId="0" applyFont="1" applyAlignment="1"/>
    <xf numFmtId="0" fontId="9" fillId="0" borderId="0" xfId="1" applyAlignment="1" applyProtection="1"/>
    <xf numFmtId="0" fontId="7" fillId="0" borderId="0" xfId="0" applyFont="1" applyFill="1" applyBorder="1"/>
    <xf numFmtId="0" fontId="28" fillId="0" borderId="0" xfId="0" applyFont="1"/>
    <xf numFmtId="0" fontId="3" fillId="0" borderId="0" xfId="0" applyFont="1" applyBorder="1" applyAlignment="1"/>
    <xf numFmtId="0" fontId="2" fillId="0" borderId="5" xfId="0" applyFont="1" applyFill="1" applyBorder="1" applyAlignment="1">
      <alignment horizontal="right"/>
    </xf>
    <xf numFmtId="0" fontId="2" fillId="0" borderId="6" xfId="0" applyFont="1" applyBorder="1" applyAlignment="1">
      <alignment horizontal="right"/>
    </xf>
    <xf numFmtId="9" fontId="15" fillId="0" borderId="1" xfId="0" applyNumberFormat="1" applyFont="1" applyBorder="1" applyAlignment="1" applyProtection="1">
      <alignment horizontal="center"/>
      <protection locked="0"/>
    </xf>
    <xf numFmtId="9" fontId="15" fillId="0" borderId="7" xfId="0" applyNumberFormat="1" applyFont="1" applyFill="1" applyBorder="1" applyAlignment="1" applyProtection="1">
      <alignment horizontal="center"/>
      <protection locked="0"/>
    </xf>
    <xf numFmtId="0" fontId="0" fillId="0" borderId="0" xfId="0" applyProtection="1"/>
    <xf numFmtId="0" fontId="8" fillId="0" borderId="0" xfId="0" applyFont="1" applyProtection="1"/>
    <xf numFmtId="0" fontId="2" fillId="4" borderId="0" xfId="0" applyFont="1" applyFill="1" applyAlignment="1" applyProtection="1">
      <alignment horizontal="center"/>
    </xf>
    <xf numFmtId="0" fontId="0" fillId="0" borderId="8" xfId="0" applyBorder="1" applyAlignment="1" applyProtection="1">
      <alignment horizontal="center"/>
    </xf>
    <xf numFmtId="0" fontId="17" fillId="0" borderId="8" xfId="0" applyFont="1" applyBorder="1" applyAlignment="1" applyProtection="1">
      <alignment horizontal="center"/>
    </xf>
    <xf numFmtId="0" fontId="0" fillId="0" borderId="8" xfId="0" applyFill="1" applyBorder="1" applyAlignment="1" applyProtection="1">
      <alignment horizontal="center"/>
    </xf>
    <xf numFmtId="0" fontId="26" fillId="0" borderId="0" xfId="0" applyFont="1" applyProtection="1"/>
    <xf numFmtId="0" fontId="0" fillId="0" borderId="9" xfId="0" applyBorder="1" applyAlignment="1" applyProtection="1">
      <alignment horizontal="center"/>
    </xf>
    <xf numFmtId="0" fontId="0" fillId="0" borderId="9" xfId="0" applyFill="1" applyBorder="1" applyAlignment="1" applyProtection="1">
      <alignment horizontal="center"/>
    </xf>
    <xf numFmtId="0" fontId="26" fillId="0" borderId="0" xfId="0" applyFont="1" applyAlignment="1" applyProtection="1">
      <alignment horizontal="center"/>
    </xf>
    <xf numFmtId="0" fontId="2" fillId="0" borderId="2" xfId="0" applyFont="1" applyBorder="1" applyAlignment="1" applyProtection="1"/>
    <xf numFmtId="0" fontId="0" fillId="0" borderId="7" xfId="0" applyBorder="1" applyAlignment="1" applyProtection="1">
      <alignment horizontal="center"/>
    </xf>
    <xf numFmtId="164" fontId="0" fillId="0" borderId="7" xfId="0" applyNumberFormat="1" applyBorder="1" applyAlignment="1" applyProtection="1">
      <alignment horizontal="center"/>
    </xf>
    <xf numFmtId="0" fontId="0" fillId="0" borderId="7" xfId="0" applyFill="1" applyBorder="1" applyAlignment="1" applyProtection="1">
      <alignment horizontal="center"/>
    </xf>
    <xf numFmtId="0" fontId="0" fillId="0" borderId="0" xfId="0" applyAlignment="1" applyProtection="1"/>
    <xf numFmtId="0" fontId="26" fillId="0" borderId="0" xfId="0" applyFont="1" applyAlignment="1" applyProtection="1"/>
    <xf numFmtId="0" fontId="26" fillId="0" borderId="2" xfId="0" applyFont="1" applyBorder="1" applyAlignment="1" applyProtection="1">
      <alignment horizontal="center"/>
    </xf>
    <xf numFmtId="0" fontId="0" fillId="0" borderId="0" xfId="0" applyBorder="1" applyProtection="1"/>
    <xf numFmtId="0" fontId="0" fillId="0" borderId="0" xfId="0" applyBorder="1" applyAlignment="1" applyProtection="1">
      <alignment horizontal="center"/>
    </xf>
    <xf numFmtId="3" fontId="0" fillId="0" borderId="10" xfId="0" applyNumberFormat="1" applyBorder="1" applyAlignment="1" applyProtection="1">
      <alignment horizontal="center"/>
    </xf>
    <xf numFmtId="168" fontId="0" fillId="0" borderId="0" xfId="0" applyNumberFormat="1" applyBorder="1" applyAlignment="1" applyProtection="1">
      <alignment horizontal="center"/>
    </xf>
    <xf numFmtId="3" fontId="0" fillId="0" borderId="0" xfId="0" applyNumberFormat="1" applyBorder="1" applyProtection="1"/>
    <xf numFmtId="3" fontId="26" fillId="0" borderId="0" xfId="0" applyNumberFormat="1" applyFont="1" applyBorder="1" applyProtection="1"/>
    <xf numFmtId="171" fontId="26" fillId="0" borderId="0" xfId="0" applyNumberFormat="1" applyFont="1" applyBorder="1" applyAlignment="1" applyProtection="1">
      <alignment horizontal="center"/>
    </xf>
    <xf numFmtId="3" fontId="0" fillId="0" borderId="11" xfId="0" applyNumberFormat="1" applyBorder="1" applyAlignment="1" applyProtection="1">
      <alignment horizontal="center"/>
    </xf>
    <xf numFmtId="0" fontId="0" fillId="0" borderId="2" xfId="0" applyBorder="1" applyAlignment="1" applyProtection="1">
      <alignment horizontal="center"/>
    </xf>
    <xf numFmtId="3" fontId="0" fillId="0" borderId="12" xfId="0" applyNumberFormat="1" applyBorder="1" applyAlignment="1" applyProtection="1">
      <alignment horizontal="center"/>
    </xf>
    <xf numFmtId="168" fontId="0" fillId="0" borderId="3" xfId="0" applyNumberFormat="1" applyBorder="1" applyAlignment="1" applyProtection="1">
      <alignment horizontal="center"/>
    </xf>
    <xf numFmtId="171" fontId="26" fillId="0" borderId="2" xfId="0" applyNumberFormat="1" applyFont="1" applyBorder="1" applyAlignment="1" applyProtection="1">
      <alignment horizontal="center"/>
    </xf>
    <xf numFmtId="0" fontId="16" fillId="0" borderId="0" xfId="0" applyFont="1" applyFill="1" applyBorder="1" applyProtection="1"/>
    <xf numFmtId="0" fontId="16" fillId="0" borderId="0" xfId="0" applyFont="1" applyBorder="1" applyProtection="1"/>
    <xf numFmtId="0" fontId="0" fillId="0" borderId="0" xfId="0" applyAlignment="1" applyProtection="1">
      <alignment horizontal="right"/>
    </xf>
    <xf numFmtId="3" fontId="1" fillId="0" borderId="0" xfId="0" applyNumberFormat="1" applyFont="1" applyBorder="1" applyAlignment="1" applyProtection="1">
      <alignment horizontal="right"/>
    </xf>
    <xf numFmtId="3" fontId="26" fillId="0" borderId="0" xfId="0" applyNumberFormat="1" applyFont="1" applyBorder="1" applyAlignment="1" applyProtection="1">
      <alignment horizontal="right"/>
    </xf>
    <xf numFmtId="3" fontId="0" fillId="0" borderId="0" xfId="0" applyNumberFormat="1" applyBorder="1" applyAlignment="1" applyProtection="1">
      <alignment horizontal="center"/>
    </xf>
    <xf numFmtId="171" fontId="16" fillId="3" borderId="0" xfId="0" applyNumberFormat="1" applyFont="1" applyFill="1" applyBorder="1" applyAlignment="1" applyProtection="1">
      <alignment horizontal="center"/>
    </xf>
    <xf numFmtId="3" fontId="0" fillId="0" borderId="0" xfId="0" applyNumberFormat="1" applyBorder="1" applyAlignment="1" applyProtection="1">
      <alignment horizontal="right"/>
    </xf>
    <xf numFmtId="169" fontId="0" fillId="0" borderId="0" xfId="0" applyNumberFormat="1" applyBorder="1" applyAlignment="1" applyProtection="1">
      <alignment horizontal="center"/>
    </xf>
    <xf numFmtId="8" fontId="16" fillId="0" borderId="0" xfId="0" applyNumberFormat="1" applyFont="1" applyBorder="1" applyProtection="1"/>
    <xf numFmtId="168" fontId="0" fillId="0" borderId="0" xfId="0" applyNumberFormat="1" applyBorder="1" applyAlignment="1" applyProtection="1">
      <alignment horizontal="right"/>
    </xf>
    <xf numFmtId="0" fontId="16" fillId="0" borderId="0" xfId="0" applyFont="1" applyProtection="1"/>
    <xf numFmtId="168" fontId="1" fillId="0" borderId="0" xfId="0" applyNumberFormat="1" applyFont="1" applyBorder="1" applyAlignment="1" applyProtection="1">
      <alignment horizontal="center"/>
    </xf>
    <xf numFmtId="0" fontId="0" fillId="0" borderId="0" xfId="0" applyFill="1" applyBorder="1" applyProtection="1"/>
    <xf numFmtId="3" fontId="0" fillId="0" borderId="0" xfId="0" applyNumberFormat="1" applyProtection="1"/>
    <xf numFmtId="0" fontId="2" fillId="0" borderId="2" xfId="0" applyFont="1" applyBorder="1" applyProtection="1"/>
    <xf numFmtId="8" fontId="7" fillId="0" borderId="0" xfId="0" applyNumberFormat="1" applyFont="1" applyAlignment="1" applyProtection="1">
      <alignment horizontal="center"/>
    </xf>
    <xf numFmtId="0" fontId="7" fillId="0" borderId="0" xfId="0" applyFont="1" applyAlignment="1" applyProtection="1">
      <alignment horizontal="center"/>
    </xf>
    <xf numFmtId="3" fontId="3" fillId="0" borderId="0" xfId="0" applyNumberFormat="1" applyFont="1" applyAlignment="1" applyProtection="1">
      <alignment horizontal="left"/>
    </xf>
    <xf numFmtId="0" fontId="5" fillId="0" borderId="0" xfId="0" applyFont="1" applyBorder="1" applyProtection="1"/>
    <xf numFmtId="8" fontId="0" fillId="0" borderId="0" xfId="0" applyNumberFormat="1" applyProtection="1"/>
    <xf numFmtId="170" fontId="5" fillId="0" borderId="0" xfId="0" applyNumberFormat="1" applyFont="1" applyFill="1" applyBorder="1" applyAlignment="1" applyProtection="1">
      <alignment horizontal="center"/>
    </xf>
    <xf numFmtId="38" fontId="5" fillId="0" borderId="0" xfId="0" applyNumberFormat="1" applyFont="1" applyFill="1" applyBorder="1" applyAlignment="1" applyProtection="1">
      <alignment horizontal="center"/>
    </xf>
    <xf numFmtId="170" fontId="0" fillId="0" borderId="0" xfId="0" applyNumberFormat="1" applyBorder="1" applyAlignment="1" applyProtection="1">
      <alignment horizontal="center"/>
    </xf>
    <xf numFmtId="0" fontId="5" fillId="0" borderId="0" xfId="0" applyFont="1" applyFill="1" applyBorder="1" applyProtection="1"/>
    <xf numFmtId="0" fontId="2" fillId="0" borderId="0" xfId="0" applyFont="1" applyFill="1" applyAlignment="1" applyProtection="1">
      <alignment horizontal="center"/>
    </xf>
    <xf numFmtId="168" fontId="0" fillId="0" borderId="0" xfId="0" applyNumberFormat="1" applyBorder="1" applyProtection="1"/>
    <xf numFmtId="168" fontId="0" fillId="0" borderId="0" xfId="0" applyNumberFormat="1" applyProtection="1"/>
    <xf numFmtId="0" fontId="5" fillId="0" borderId="0" xfId="0" applyFont="1" applyProtection="1"/>
    <xf numFmtId="0" fontId="2" fillId="0" borderId="0" xfId="0" applyFont="1" applyProtection="1"/>
    <xf numFmtId="0" fontId="2" fillId="0" borderId="0" xfId="0" applyFont="1" applyBorder="1" applyAlignment="1" applyProtection="1">
      <alignment horizontal="right"/>
    </xf>
    <xf numFmtId="0" fontId="14" fillId="0" borderId="0" xfId="0" applyFont="1" applyBorder="1" applyProtection="1"/>
    <xf numFmtId="0" fontId="3" fillId="0" borderId="0" xfId="0" applyFont="1" applyProtection="1"/>
    <xf numFmtId="8" fontId="0" fillId="0" borderId="1" xfId="0" applyNumberFormat="1" applyBorder="1" applyProtection="1"/>
    <xf numFmtId="6" fontId="15" fillId="0" borderId="11" xfId="0" applyNumberFormat="1" applyFont="1" applyFill="1" applyBorder="1" applyProtection="1"/>
    <xf numFmtId="0" fontId="15" fillId="0" borderId="0" xfId="0" applyFont="1" applyBorder="1" applyProtection="1"/>
    <xf numFmtId="0" fontId="0" fillId="0" borderId="0" xfId="0" applyBorder="1" applyAlignment="1" applyProtection="1">
      <alignment horizontal="right"/>
    </xf>
    <xf numFmtId="8" fontId="0" fillId="0" borderId="13" xfId="0" applyNumberFormat="1" applyBorder="1" applyProtection="1"/>
    <xf numFmtId="8" fontId="0" fillId="0" borderId="2" xfId="0" applyNumberFormat="1" applyBorder="1" applyProtection="1"/>
    <xf numFmtId="8" fontId="0" fillId="0" borderId="5" xfId="0" applyNumberFormat="1" applyBorder="1" applyProtection="1"/>
    <xf numFmtId="8" fontId="0" fillId="0" borderId="4" xfId="0" applyNumberFormat="1" applyBorder="1" applyProtection="1"/>
    <xf numFmtId="8" fontId="0" fillId="0" borderId="0" xfId="0" applyNumberFormat="1" applyBorder="1" applyProtection="1"/>
    <xf numFmtId="6" fontId="0" fillId="0" borderId="0" xfId="0" applyNumberFormat="1" applyBorder="1" applyProtection="1"/>
    <xf numFmtId="0" fontId="0" fillId="0" borderId="2" xfId="0" applyFill="1" applyBorder="1" applyProtection="1"/>
    <xf numFmtId="0" fontId="0" fillId="0" borderId="2" xfId="0" applyBorder="1" applyProtection="1"/>
    <xf numFmtId="0" fontId="0" fillId="0" borderId="3" xfId="0" applyBorder="1" applyProtection="1"/>
    <xf numFmtId="6" fontId="15" fillId="0" borderId="0" xfId="0" applyNumberFormat="1" applyFont="1" applyFill="1" applyBorder="1" applyProtection="1"/>
    <xf numFmtId="0" fontId="2" fillId="0" borderId="0" xfId="0" applyFont="1" applyFill="1" applyBorder="1" applyProtection="1"/>
    <xf numFmtId="8" fontId="5" fillId="0" borderId="0" xfId="0" applyNumberFormat="1" applyFont="1" applyFill="1" applyBorder="1" applyProtection="1"/>
    <xf numFmtId="6" fontId="0" fillId="0" borderId="0" xfId="0" applyNumberFormat="1" applyProtection="1"/>
    <xf numFmtId="6" fontId="5" fillId="0" borderId="0" xfId="0" applyNumberFormat="1" applyFont="1" applyBorder="1" applyAlignment="1" applyProtection="1">
      <alignment horizontal="right"/>
    </xf>
    <xf numFmtId="0" fontId="0" fillId="0" borderId="2" xfId="0" applyBorder="1" applyAlignment="1" applyProtection="1">
      <alignment horizontal="right"/>
    </xf>
    <xf numFmtId="0" fontId="2" fillId="0" borderId="0" xfId="0" applyFont="1" applyBorder="1" applyProtection="1"/>
    <xf numFmtId="0" fontId="0" fillId="0" borderId="1" xfId="0" applyFill="1" applyBorder="1" applyAlignment="1" applyProtection="1">
      <alignment horizontal="center"/>
    </xf>
    <xf numFmtId="0" fontId="12" fillId="0" borderId="0" xfId="0" applyFont="1" applyBorder="1" applyProtection="1"/>
    <xf numFmtId="0" fontId="15" fillId="0" borderId="3" xfId="0" applyFont="1" applyBorder="1" applyProtection="1"/>
    <xf numFmtId="0" fontId="5" fillId="0" borderId="0" xfId="0" applyFont="1" applyBorder="1" applyAlignment="1" applyProtection="1">
      <alignment horizontal="right"/>
    </xf>
    <xf numFmtId="6" fontId="5" fillId="0" borderId="0" xfId="0" applyNumberFormat="1" applyFont="1" applyFill="1" applyBorder="1" applyProtection="1"/>
    <xf numFmtId="0" fontId="5" fillId="0" borderId="2" xfId="0" applyFont="1" applyBorder="1" applyProtection="1"/>
    <xf numFmtId="0" fontId="1" fillId="0" borderId="2" xfId="0" applyFont="1" applyBorder="1" applyProtection="1"/>
    <xf numFmtId="0" fontId="7" fillId="0" borderId="2" xfId="0" applyFont="1" applyBorder="1" applyProtection="1"/>
    <xf numFmtId="6" fontId="5" fillId="0" borderId="0" xfId="0" applyNumberFormat="1" applyFont="1" applyBorder="1" applyProtection="1"/>
    <xf numFmtId="8" fontId="5" fillId="0" borderId="0" xfId="0" applyNumberFormat="1" applyFont="1" applyBorder="1" applyAlignment="1" applyProtection="1">
      <alignment horizontal="right"/>
    </xf>
    <xf numFmtId="0" fontId="1" fillId="0" borderId="0" xfId="0" applyFont="1" applyFill="1" applyBorder="1" applyProtection="1"/>
    <xf numFmtId="0" fontId="7" fillId="0" borderId="0" xfId="0" applyFont="1" applyBorder="1" applyProtection="1"/>
    <xf numFmtId="6" fontId="5" fillId="0" borderId="4" xfId="0" applyNumberFormat="1" applyFont="1" applyBorder="1" applyAlignment="1" applyProtection="1">
      <alignment horizontal="right"/>
    </xf>
    <xf numFmtId="0" fontId="1" fillId="0" borderId="0" xfId="0" applyFont="1" applyBorder="1" applyProtection="1"/>
    <xf numFmtId="0" fontId="15" fillId="0" borderId="0" xfId="0" applyFont="1" applyFill="1" applyBorder="1" applyProtection="1">
      <protection locked="0"/>
    </xf>
    <xf numFmtId="0" fontId="15" fillId="0" borderId="2" xfId="0" applyFont="1" applyFill="1" applyBorder="1" applyProtection="1">
      <protection locked="0"/>
    </xf>
    <xf numFmtId="0" fontId="14" fillId="0" borderId="1" xfId="0" applyFont="1" applyBorder="1" applyAlignment="1" applyProtection="1">
      <alignment horizontal="center"/>
      <protection locked="0"/>
    </xf>
    <xf numFmtId="8" fontId="15" fillId="0" borderId="1" xfId="0" applyNumberFormat="1" applyFont="1" applyFill="1" applyBorder="1" applyAlignment="1" applyProtection="1">
      <alignment horizontal="center"/>
      <protection locked="0"/>
    </xf>
    <xf numFmtId="38" fontId="15" fillId="0" borderId="1" xfId="0" applyNumberFormat="1" applyFont="1" applyFill="1" applyBorder="1" applyAlignment="1" applyProtection="1">
      <alignment horizontal="center"/>
      <protection locked="0"/>
    </xf>
    <xf numFmtId="167" fontId="15" fillId="0" borderId="14" xfId="0" applyNumberFormat="1" applyFont="1" applyFill="1" applyBorder="1" applyAlignment="1" applyProtection="1">
      <alignment horizontal="center"/>
      <protection locked="0"/>
    </xf>
    <xf numFmtId="170" fontId="15" fillId="0" borderId="1" xfId="0" applyNumberFormat="1" applyFont="1" applyFill="1" applyBorder="1" applyAlignment="1" applyProtection="1">
      <alignment horizontal="center"/>
      <protection locked="0"/>
    </xf>
    <xf numFmtId="9" fontId="15" fillId="0" borderId="1" xfId="0" applyNumberFormat="1" applyFont="1" applyFill="1" applyBorder="1" applyAlignment="1" applyProtection="1">
      <alignment horizontal="center"/>
      <protection locked="0"/>
    </xf>
    <xf numFmtId="8" fontId="15" fillId="0" borderId="1" xfId="0" applyNumberFormat="1" applyFont="1" applyFill="1" applyBorder="1" applyProtection="1">
      <protection locked="0"/>
    </xf>
    <xf numFmtId="6" fontId="15" fillId="0" borderId="1" xfId="0" applyNumberFormat="1" applyFont="1" applyFill="1" applyBorder="1" applyProtection="1">
      <protection locked="0"/>
    </xf>
    <xf numFmtId="6" fontId="15" fillId="0" borderId="15" xfId="0" applyNumberFormat="1" applyFont="1" applyFill="1" applyBorder="1" applyProtection="1">
      <protection locked="0"/>
    </xf>
    <xf numFmtId="0" fontId="15" fillId="0" borderId="0" xfId="0" applyFont="1" applyBorder="1" applyProtection="1">
      <protection locked="0"/>
    </xf>
    <xf numFmtId="167" fontId="15" fillId="0" borderId="1" xfId="2" applyNumberFormat="1" applyFont="1" applyFill="1" applyBorder="1" applyProtection="1">
      <protection locked="0"/>
    </xf>
    <xf numFmtId="38" fontId="15" fillId="0" borderId="1" xfId="0" applyNumberFormat="1" applyFont="1" applyFill="1" applyBorder="1" applyProtection="1">
      <protection locked="0"/>
    </xf>
    <xf numFmtId="170" fontId="15" fillId="0" borderId="1" xfId="0" applyNumberFormat="1" applyFont="1" applyFill="1" applyBorder="1" applyProtection="1">
      <protection locked="0"/>
    </xf>
    <xf numFmtId="9" fontId="15" fillId="0" borderId="1" xfId="2" applyFont="1" applyFill="1" applyBorder="1" applyProtection="1">
      <protection locked="0"/>
    </xf>
    <xf numFmtId="0" fontId="14" fillId="0" borderId="1" xfId="0" applyFont="1" applyBorder="1" applyProtection="1">
      <protection locked="0"/>
    </xf>
    <xf numFmtId="0" fontId="0" fillId="0" borderId="0" xfId="0" applyBorder="1" applyProtection="1">
      <protection locked="0"/>
    </xf>
    <xf numFmtId="0" fontId="15" fillId="0" borderId="2" xfId="0" applyFont="1" applyBorder="1" applyProtection="1">
      <protection locked="0"/>
    </xf>
    <xf numFmtId="0" fontId="15" fillId="0" borderId="1" xfId="0" applyFont="1" applyFill="1" applyBorder="1" applyProtection="1">
      <protection locked="0"/>
    </xf>
    <xf numFmtId="0" fontId="15" fillId="0" borderId="16" xfId="0" applyFont="1" applyBorder="1" applyProtection="1">
      <protection locked="0"/>
    </xf>
    <xf numFmtId="0" fontId="0" fillId="0" borderId="14" xfId="0" applyBorder="1" applyProtection="1">
      <protection locked="0"/>
    </xf>
    <xf numFmtId="0" fontId="0" fillId="0" borderId="17" xfId="0" applyBorder="1" applyProtection="1">
      <protection locked="0"/>
    </xf>
    <xf numFmtId="8" fontId="15" fillId="0" borderId="17" xfId="0" applyNumberFormat="1" applyFont="1" applyFill="1" applyBorder="1" applyProtection="1">
      <protection locked="0"/>
    </xf>
    <xf numFmtId="8" fontId="15" fillId="0" borderId="15" xfId="0" applyNumberFormat="1" applyFont="1" applyFill="1" applyBorder="1" applyProtection="1">
      <protection locked="0"/>
    </xf>
    <xf numFmtId="8" fontId="15" fillId="0" borderId="8" xfId="0" applyNumberFormat="1" applyFont="1" applyFill="1" applyBorder="1" applyProtection="1">
      <protection locked="0"/>
    </xf>
    <xf numFmtId="9" fontId="15" fillId="0" borderId="1" xfId="0" applyNumberFormat="1" applyFont="1" applyBorder="1" applyAlignment="1" applyProtection="1">
      <alignment horizontal="right"/>
      <protection locked="0"/>
    </xf>
    <xf numFmtId="165" fontId="15" fillId="0" borderId="1" xfId="0" applyNumberFormat="1" applyFont="1" applyBorder="1" applyProtection="1">
      <protection locked="0"/>
    </xf>
    <xf numFmtId="0" fontId="0" fillId="4" borderId="0" xfId="0" applyFill="1"/>
    <xf numFmtId="38" fontId="0" fillId="0" borderId="1" xfId="0" applyNumberFormat="1" applyBorder="1"/>
    <xf numFmtId="38" fontId="2" fillId="0" borderId="1" xfId="0" applyNumberFormat="1" applyFont="1" applyBorder="1"/>
    <xf numFmtId="38" fontId="2" fillId="0" borderId="0" xfId="0" applyNumberFormat="1" applyFont="1"/>
    <xf numFmtId="38" fontId="5" fillId="0" borderId="1" xfId="0" applyNumberFormat="1" applyFont="1" applyBorder="1"/>
    <xf numFmtId="38" fontId="0" fillId="3" borderId="1" xfId="0" applyNumberFormat="1" applyFill="1" applyBorder="1"/>
    <xf numFmtId="38" fontId="0" fillId="0" borderId="1" xfId="0" applyNumberFormat="1" applyFill="1" applyBorder="1"/>
    <xf numFmtId="3" fontId="0" fillId="0" borderId="0" xfId="0" applyNumberFormat="1" applyAlignment="1">
      <alignment horizontal="center"/>
    </xf>
    <xf numFmtId="0" fontId="2" fillId="0" borderId="0" xfId="0" applyFont="1" applyBorder="1" applyAlignment="1"/>
    <xf numFmtId="8" fontId="0" fillId="0" borderId="0" xfId="0" applyNumberFormat="1" applyBorder="1" applyAlignment="1"/>
    <xf numFmtId="8" fontId="0" fillId="0" borderId="2" xfId="0" applyNumberFormat="1" applyBorder="1" applyAlignment="1"/>
    <xf numFmtId="38" fontId="15" fillId="0" borderId="1" xfId="0" applyNumberFormat="1" applyFont="1" applyFill="1" applyBorder="1" applyAlignment="1" applyProtection="1">
      <alignment horizontal="right"/>
      <protection locked="0"/>
    </xf>
    <xf numFmtId="6" fontId="16" fillId="0" borderId="0" xfId="0" applyNumberFormat="1" applyFont="1" applyAlignment="1"/>
    <xf numFmtId="2" fontId="0" fillId="0" borderId="0" xfId="0" applyNumberFormat="1"/>
    <xf numFmtId="164" fontId="2" fillId="0" borderId="1" xfId="0" applyNumberFormat="1" applyFont="1" applyBorder="1"/>
    <xf numFmtId="0" fontId="2" fillId="0" borderId="1" xfId="0" applyFont="1" applyFill="1" applyBorder="1"/>
    <xf numFmtId="8" fontId="2" fillId="0" borderId="1" xfId="0" applyNumberFormat="1" applyFont="1" applyBorder="1"/>
    <xf numFmtId="164" fontId="0" fillId="0" borderId="0" xfId="0" applyNumberFormat="1" applyBorder="1" applyAlignment="1" applyProtection="1">
      <alignment horizontal="right"/>
      <protection locked="0"/>
    </xf>
    <xf numFmtId="38" fontId="0" fillId="0" borderId="2" xfId="0" applyNumberFormat="1" applyBorder="1" applyAlignment="1">
      <alignment horizontal="center"/>
    </xf>
    <xf numFmtId="3" fontId="0" fillId="0" borderId="2" xfId="0" applyNumberFormat="1" applyBorder="1" applyAlignment="1">
      <alignment horizontal="center"/>
    </xf>
    <xf numFmtId="38" fontId="5" fillId="0" borderId="0" xfId="0" applyNumberFormat="1" applyFont="1" applyFill="1" applyBorder="1" applyProtection="1">
      <protection locked="0"/>
    </xf>
    <xf numFmtId="8" fontId="5" fillId="0" borderId="0" xfId="0" applyNumberFormat="1" applyFont="1" applyFill="1" applyBorder="1" applyProtection="1">
      <protection locked="0"/>
    </xf>
    <xf numFmtId="0" fontId="2" fillId="0" borderId="0" xfId="0" applyFont="1" applyFill="1" applyAlignment="1">
      <alignment horizontal="center"/>
    </xf>
    <xf numFmtId="165" fontId="0" fillId="0" borderId="0" xfId="0" applyNumberFormat="1" applyBorder="1" applyAlignment="1" applyProtection="1">
      <alignment horizontal="right"/>
      <protection locked="0"/>
    </xf>
    <xf numFmtId="166" fontId="0" fillId="0" borderId="2" xfId="0" applyNumberFormat="1" applyBorder="1" applyAlignment="1"/>
    <xf numFmtId="0" fontId="30" fillId="6" borderId="0" xfId="0" applyFont="1" applyFill="1" applyBorder="1"/>
    <xf numFmtId="0" fontId="31" fillId="6" borderId="0" xfId="0" applyFont="1" applyFill="1" applyBorder="1" applyAlignment="1">
      <alignment horizontal="center"/>
    </xf>
    <xf numFmtId="0" fontId="30" fillId="6" borderId="0" xfId="0" applyFont="1" applyFill="1" applyBorder="1" applyAlignment="1">
      <alignment horizontal="center"/>
    </xf>
    <xf numFmtId="0" fontId="9" fillId="6" borderId="0" xfId="1" applyFill="1" applyBorder="1" applyAlignment="1" applyProtection="1">
      <alignment horizontal="center"/>
    </xf>
    <xf numFmtId="0" fontId="30" fillId="6" borderId="0" xfId="0" applyFont="1" applyFill="1" applyBorder="1" applyAlignment="1">
      <alignment horizontal="left" vertical="top" wrapText="1"/>
    </xf>
    <xf numFmtId="0" fontId="0" fillId="0" borderId="0" xfId="0" applyAlignment="1">
      <alignment horizontal="left" vertical="top" wrapText="1"/>
    </xf>
    <xf numFmtId="0" fontId="2" fillId="5" borderId="16" xfId="0" applyFont="1" applyFill="1" applyBorder="1" applyAlignment="1" applyProtection="1">
      <alignment horizontal="center"/>
    </xf>
    <xf numFmtId="0" fontId="2" fillId="5" borderId="14" xfId="0" applyFont="1" applyFill="1" applyBorder="1" applyAlignment="1" applyProtection="1">
      <alignment horizontal="center"/>
    </xf>
    <xf numFmtId="0" fontId="2" fillId="5" borderId="17" xfId="0" applyFont="1" applyFill="1" applyBorder="1" applyAlignment="1" applyProtection="1">
      <alignment horizontal="center"/>
    </xf>
    <xf numFmtId="0" fontId="2" fillId="5" borderId="0" xfId="0" applyFont="1" applyFill="1" applyBorder="1" applyAlignment="1" applyProtection="1">
      <alignment horizontal="center"/>
    </xf>
    <xf numFmtId="0" fontId="0" fillId="0" borderId="0" xfId="0" applyBorder="1" applyAlignment="1" applyProtection="1"/>
    <xf numFmtId="168" fontId="0" fillId="0" borderId="0" xfId="0" applyNumberFormat="1" applyBorder="1" applyAlignment="1" applyProtection="1">
      <alignment horizontal="center"/>
    </xf>
    <xf numFmtId="0" fontId="2" fillId="5" borderId="0" xfId="0" applyFont="1" applyFill="1" applyBorder="1" applyAlignment="1" applyProtection="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5" borderId="16" xfId="0" applyFont="1" applyFill="1" applyBorder="1" applyAlignment="1">
      <alignment horizontal="center"/>
    </xf>
    <xf numFmtId="0" fontId="2" fillId="5" borderId="14" xfId="0" applyFont="1" applyFill="1" applyBorder="1" applyAlignment="1">
      <alignment horizontal="center"/>
    </xf>
    <xf numFmtId="0" fontId="2" fillId="5" borderId="17" xfId="0" applyFont="1" applyFill="1" applyBorder="1" applyAlignment="1">
      <alignment horizontal="center"/>
    </xf>
    <xf numFmtId="0" fontId="3" fillId="0" borderId="0" xfId="0" applyFont="1" applyBorder="1" applyAlignment="1"/>
    <xf numFmtId="0" fontId="0" fillId="0" borderId="0" xfId="0" applyBorder="1" applyAlignment="1"/>
    <xf numFmtId="0" fontId="10" fillId="0" borderId="16" xfId="0" applyFont="1" applyBorder="1" applyAlignment="1">
      <alignment horizontal="center"/>
    </xf>
    <xf numFmtId="0" fontId="10" fillId="0" borderId="14" xfId="0" applyFont="1" applyBorder="1" applyAlignment="1">
      <alignment horizontal="center"/>
    </xf>
    <xf numFmtId="0" fontId="10" fillId="0" borderId="17" xfId="0" applyFont="1" applyBorder="1" applyAlignment="1">
      <alignment horizontal="center"/>
    </xf>
  </cellXfs>
  <cellStyles count="3">
    <cellStyle name="Hyperlink" xfId="1" builtinId="8"/>
    <cellStyle name="Normal" xfId="0" builtinId="0"/>
    <cellStyle name="Percent" xfId="2" builtinId="5"/>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9</xdr:col>
      <xdr:colOff>514350</xdr:colOff>
      <xdr:row>24</xdr:row>
      <xdr:rowOff>9525</xdr:rowOff>
    </xdr:from>
    <xdr:to>
      <xdr:col>17</xdr:col>
      <xdr:colOff>285750</xdr:colOff>
      <xdr:row>43</xdr:row>
      <xdr:rowOff>133350</xdr:rowOff>
    </xdr:to>
    <xdr:pic>
      <xdr:nvPicPr>
        <xdr:cNvPr id="2084" name="Picture 19" descr="Biofuel Canada Crusher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7900" y="3962400"/>
          <a:ext cx="4686300"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49</xdr:row>
      <xdr:rowOff>57150</xdr:rowOff>
    </xdr:from>
    <xdr:to>
      <xdr:col>15</xdr:col>
      <xdr:colOff>342900</xdr:colOff>
      <xdr:row>67</xdr:row>
      <xdr:rowOff>0</xdr:rowOff>
    </xdr:to>
    <xdr:pic>
      <xdr:nvPicPr>
        <xdr:cNvPr id="2085" name="Picture 20" descr="100_03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53150" y="8058150"/>
          <a:ext cx="3295650" cy="285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9</xdr:col>
          <xdr:colOff>190500</xdr:colOff>
          <xdr:row>1</xdr:row>
          <xdr:rowOff>0</xdr:rowOff>
        </xdr:from>
        <xdr:to>
          <xdr:col>13</xdr:col>
          <xdr:colOff>198120</xdr:colOff>
          <xdr:row>2</xdr:row>
          <xdr:rowOff>114300</xdr:rowOff>
        </xdr:to>
        <xdr:sp macro="" textlink="">
          <xdr:nvSpPr>
            <xdr:cNvPr id="2071" name="Button 23" hidden="1">
              <a:extLst>
                <a:ext uri="{63B3BB69-23CF-44E3-9099-C40C66FF867C}">
                  <a14:compatExt spid="_x0000_s2071"/>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1" i="0" u="none" strike="noStrike" baseline="0">
                  <a:solidFill>
                    <a:srgbClr val="000000"/>
                  </a:solidFill>
                  <a:latin typeface="Arial"/>
                  <a:cs typeface="Arial"/>
                </a:rPr>
                <a:t>Macro -- Print Oil Seed Crushing Page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28575</xdr:colOff>
      <xdr:row>2</xdr:row>
      <xdr:rowOff>123825</xdr:rowOff>
    </xdr:from>
    <xdr:to>
      <xdr:col>3</xdr:col>
      <xdr:colOff>771525</xdr:colOff>
      <xdr:row>10</xdr:row>
      <xdr:rowOff>0</xdr:rowOff>
    </xdr:to>
    <xdr:sp macro="" textlink="">
      <xdr:nvSpPr>
        <xdr:cNvPr id="1070" name="Text Box 46"/>
        <xdr:cNvSpPr txBox="1">
          <a:spLocks noChangeArrowheads="1"/>
        </xdr:cNvSpPr>
      </xdr:nvSpPr>
      <xdr:spPr bwMode="auto">
        <a:xfrm>
          <a:off x="409575" y="514350"/>
          <a:ext cx="2476500" cy="1171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Common proportions for ingredients in biodiesel are 1 part oil, .18 parts methanol and .005 parts catalyst.  These proportions are shown at left in blue text and can be changed to reflect actual proportions used.</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8</xdr:col>
      <xdr:colOff>9525</xdr:colOff>
      <xdr:row>11</xdr:row>
      <xdr:rowOff>47625</xdr:rowOff>
    </xdr:from>
    <xdr:to>
      <xdr:col>13</xdr:col>
      <xdr:colOff>419100</xdr:colOff>
      <xdr:row>26</xdr:row>
      <xdr:rowOff>85725</xdr:rowOff>
    </xdr:to>
    <xdr:pic>
      <xdr:nvPicPr>
        <xdr:cNvPr id="1122" name="Picture 64" descr="Biofuel Canada Biodiesel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4600" y="1914525"/>
          <a:ext cx="35718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28575</xdr:colOff>
      <xdr:row>32</xdr:row>
      <xdr:rowOff>76200</xdr:rowOff>
    </xdr:from>
    <xdr:to>
      <xdr:col>13</xdr:col>
      <xdr:colOff>171450</xdr:colOff>
      <xdr:row>47</xdr:row>
      <xdr:rowOff>123825</xdr:rowOff>
    </xdr:to>
    <xdr:pic>
      <xdr:nvPicPr>
        <xdr:cNvPr id="1123" name="Picture 65" descr="100_03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43650" y="5391150"/>
          <a:ext cx="3305175"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518160</xdr:colOff>
          <xdr:row>0</xdr:row>
          <xdr:rowOff>137160</xdr:rowOff>
        </xdr:from>
        <xdr:to>
          <xdr:col>13</xdr:col>
          <xdr:colOff>22860</xdr:colOff>
          <xdr:row>2</xdr:row>
          <xdr:rowOff>76200</xdr:rowOff>
        </xdr:to>
        <xdr:sp macro="" textlink="">
          <xdr:nvSpPr>
            <xdr:cNvPr id="1100" name="Button 76" hidden="1">
              <a:extLst>
                <a:ext uri="{63B3BB69-23CF-44E3-9099-C40C66FF867C}">
                  <a14:compatExt spid="_x0000_s1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1" i="0" u="none" strike="noStrike" baseline="0">
                  <a:solidFill>
                    <a:srgbClr val="000000"/>
                  </a:solidFill>
                  <a:latin typeface="Arial"/>
                  <a:cs typeface="Arial"/>
                </a:rPr>
                <a:t>Macro -- Print Biodiesel Production Information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563880</xdr:colOff>
          <xdr:row>0</xdr:row>
          <xdr:rowOff>152400</xdr:rowOff>
        </xdr:from>
        <xdr:to>
          <xdr:col>11</xdr:col>
          <xdr:colOff>594360</xdr:colOff>
          <xdr:row>3</xdr:row>
          <xdr:rowOff>7620</xdr:rowOff>
        </xdr:to>
        <xdr:sp macro="" textlink="">
          <xdr:nvSpPr>
            <xdr:cNvPr id="3077" name="Button 5" hidden="1">
              <a:extLst>
                <a:ext uri="{63B3BB69-23CF-44E3-9099-C40C66FF867C}">
                  <a14:compatExt spid="_x0000_s3077"/>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1" i="0" u="none" strike="noStrike" baseline="0">
                  <a:solidFill>
                    <a:srgbClr val="000000"/>
                  </a:solidFill>
                  <a:latin typeface="Arial"/>
                  <a:cs typeface="Arial"/>
                </a:rPr>
                <a:t>Macro -- Print Cash Flow and Income Expenses Analysis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jschumacher@montana.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ampc.montana.edu/energyinformation.html" TargetMode="External"/><Relationship Id="rId6" Type="http://schemas.openxmlformats.org/officeDocument/2006/relationships/comments" Target="../comments3.xml"/><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8"/>
  <sheetViews>
    <sheetView tabSelected="1" workbookViewId="0"/>
  </sheetViews>
  <sheetFormatPr defaultColWidth="9.109375" defaultRowHeight="17.399999999999999" x14ac:dyDescent="0.3"/>
  <cols>
    <col min="1" max="1" width="16" style="226" customWidth="1"/>
    <col min="2" max="16384" width="9.109375" style="226"/>
  </cols>
  <sheetData>
    <row r="3" spans="4:4" ht="24.6" x14ac:dyDescent="0.4">
      <c r="D3" s="227" t="s">
        <v>317</v>
      </c>
    </row>
    <row r="4" spans="4:4" ht="24.6" x14ac:dyDescent="0.4">
      <c r="D4" s="227" t="s">
        <v>324</v>
      </c>
    </row>
    <row r="5" spans="4:4" ht="24.6" x14ac:dyDescent="0.4">
      <c r="D5" s="227"/>
    </row>
    <row r="6" spans="4:4" ht="24.6" x14ac:dyDescent="0.4">
      <c r="D6" s="227" t="s">
        <v>325</v>
      </c>
    </row>
    <row r="7" spans="4:4" ht="24.6" x14ac:dyDescent="0.4">
      <c r="D7" s="227" t="s">
        <v>326</v>
      </c>
    </row>
    <row r="8" spans="4:4" ht="45" customHeight="1" x14ac:dyDescent="0.3"/>
    <row r="9" spans="4:4" x14ac:dyDescent="0.3">
      <c r="D9" s="228" t="s">
        <v>318</v>
      </c>
    </row>
    <row r="10" spans="4:4" x14ac:dyDescent="0.3">
      <c r="D10" s="228"/>
    </row>
    <row r="11" spans="4:4" x14ac:dyDescent="0.3">
      <c r="D11" s="228" t="s">
        <v>319</v>
      </c>
    </row>
    <row r="12" spans="4:4" x14ac:dyDescent="0.3">
      <c r="D12" s="228" t="s">
        <v>320</v>
      </c>
    </row>
    <row r="13" spans="4:4" x14ac:dyDescent="0.3">
      <c r="D13" s="228" t="s">
        <v>321</v>
      </c>
    </row>
    <row r="14" spans="4:4" x14ac:dyDescent="0.3">
      <c r="D14" s="229" t="s">
        <v>322</v>
      </c>
    </row>
    <row r="15" spans="4:4" x14ac:dyDescent="0.3">
      <c r="D15" s="228" t="s">
        <v>323</v>
      </c>
    </row>
    <row r="18" spans="1:11" ht="116.25" customHeight="1" x14ac:dyDescent="0.3">
      <c r="A18" s="230"/>
      <c r="B18" s="231"/>
      <c r="C18" s="231"/>
      <c r="D18" s="231"/>
      <c r="E18" s="231"/>
      <c r="F18" s="231"/>
      <c r="G18" s="231"/>
      <c r="H18" s="231"/>
      <c r="I18" s="231"/>
      <c r="J18" s="231"/>
      <c r="K18" s="231"/>
    </row>
  </sheetData>
  <mergeCells count="1">
    <mergeCell ref="A18:K18"/>
  </mergeCells>
  <hyperlinks>
    <hyperlink ref="D1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7"/>
  <sheetViews>
    <sheetView showGridLines="0" topLeftCell="A5" zoomScaleNormal="100" workbookViewId="0">
      <selection activeCell="A8" sqref="A8"/>
    </sheetView>
  </sheetViews>
  <sheetFormatPr defaultRowHeight="13.2" x14ac:dyDescent="0.25"/>
  <cols>
    <col min="1" max="1" width="135" style="16" customWidth="1"/>
  </cols>
  <sheetData>
    <row r="1" spans="1:1" x14ac:dyDescent="0.25">
      <c r="A1" s="22"/>
    </row>
    <row r="2" spans="1:1" x14ac:dyDescent="0.25">
      <c r="A2" s="23" t="s">
        <v>78</v>
      </c>
    </row>
    <row r="3" spans="1:1" ht="39.6" x14ac:dyDescent="0.25">
      <c r="A3" s="24" t="s">
        <v>79</v>
      </c>
    </row>
    <row r="4" spans="1:1" ht="39.6" x14ac:dyDescent="0.25">
      <c r="A4" s="24" t="s">
        <v>242</v>
      </c>
    </row>
    <row r="5" spans="1:1" x14ac:dyDescent="0.25">
      <c r="A5" s="25"/>
    </row>
    <row r="6" spans="1:1" x14ac:dyDescent="0.25">
      <c r="A6" s="23" t="s">
        <v>77</v>
      </c>
    </row>
    <row r="7" spans="1:1" ht="39.6" x14ac:dyDescent="0.25">
      <c r="A7" s="24" t="s">
        <v>311</v>
      </c>
    </row>
    <row r="8" spans="1:1" ht="79.2" x14ac:dyDescent="0.25">
      <c r="A8" s="24" t="s">
        <v>243</v>
      </c>
    </row>
    <row r="9" spans="1:1" ht="52.8" x14ac:dyDescent="0.25">
      <c r="A9" s="24" t="s">
        <v>244</v>
      </c>
    </row>
    <row r="10" spans="1:1" x14ac:dyDescent="0.25">
      <c r="A10" s="24" t="s">
        <v>219</v>
      </c>
    </row>
    <row r="12" spans="1:1" x14ac:dyDescent="0.25">
      <c r="A12" s="22" t="s">
        <v>316</v>
      </c>
    </row>
    <row r="13" spans="1:1" x14ac:dyDescent="0.25">
      <c r="A13" s="22"/>
    </row>
    <row r="14" spans="1:1" x14ac:dyDescent="0.25">
      <c r="A14" s="24" t="s">
        <v>221</v>
      </c>
    </row>
    <row r="15" spans="1:1" x14ac:dyDescent="0.25">
      <c r="A15" s="24" t="s">
        <v>222</v>
      </c>
    </row>
    <row r="16" spans="1:1" x14ac:dyDescent="0.25">
      <c r="A16" s="24" t="s">
        <v>223</v>
      </c>
    </row>
    <row r="17" spans="1:1" x14ac:dyDescent="0.25">
      <c r="A17" s="24" t="s">
        <v>246</v>
      </c>
    </row>
    <row r="18" spans="1:1" x14ac:dyDescent="0.25">
      <c r="A18" s="24"/>
    </row>
    <row r="19" spans="1:1" x14ac:dyDescent="0.25">
      <c r="A19" s="24" t="s">
        <v>224</v>
      </c>
    </row>
    <row r="20" spans="1:1" x14ac:dyDescent="0.25">
      <c r="A20" s="24" t="s">
        <v>225</v>
      </c>
    </row>
    <row r="21" spans="1:1" x14ac:dyDescent="0.25">
      <c r="A21" s="24" t="s">
        <v>226</v>
      </c>
    </row>
    <row r="22" spans="1:1" x14ac:dyDescent="0.25">
      <c r="A22" s="24" t="s">
        <v>227</v>
      </c>
    </row>
    <row r="23" spans="1:1" x14ac:dyDescent="0.25">
      <c r="A23" s="69"/>
    </row>
    <row r="24" spans="1:1" ht="26.4" x14ac:dyDescent="0.25">
      <c r="A24" s="24" t="s">
        <v>247</v>
      </c>
    </row>
    <row r="25" spans="1:1" x14ac:dyDescent="0.25">
      <c r="A25" s="24"/>
    </row>
    <row r="26" spans="1:1" ht="39.6" x14ac:dyDescent="0.25">
      <c r="A26" s="24" t="s">
        <v>248</v>
      </c>
    </row>
    <row r="27" spans="1:1" x14ac:dyDescent="0.25">
      <c r="A27"/>
    </row>
  </sheetData>
  <sheetProtection sheet="1" objects="1" scenarios="1" formatCells="0" formatColumns="0" formatRows="0"/>
  <phoneticPr fontId="4"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Y214"/>
  <sheetViews>
    <sheetView showGridLines="0" zoomScaleNormal="100" workbookViewId="0">
      <selection activeCell="H138" sqref="H138"/>
    </sheetView>
  </sheetViews>
  <sheetFormatPr defaultRowHeight="13.2" x14ac:dyDescent="0.25"/>
  <cols>
    <col min="1" max="1" width="5.44140625" customWidth="1"/>
    <col min="2" max="3" width="9" customWidth="1"/>
    <col min="4" max="4" width="11.33203125" customWidth="1"/>
    <col min="5" max="5" width="9" customWidth="1"/>
    <col min="6" max="6" width="7.88671875" customWidth="1"/>
    <col min="7" max="7" width="9.6640625" customWidth="1"/>
    <col min="8" max="8" width="10.44140625" customWidth="1"/>
    <col min="9" max="9" width="11.44140625" customWidth="1"/>
    <col min="11" max="12" width="9.33203125" customWidth="1"/>
    <col min="13" max="13" width="12" customWidth="1"/>
    <col min="14" max="15" width="6.88671875" customWidth="1"/>
    <col min="16" max="16" width="9.88671875" customWidth="1"/>
    <col min="17" max="17" width="10.44140625" customWidth="1"/>
    <col min="18" max="18" width="12" customWidth="1"/>
    <col min="19" max="20" width="6.88671875" customWidth="1"/>
    <col min="22" max="22" width="7.109375" customWidth="1"/>
  </cols>
  <sheetData>
    <row r="1" spans="1:25" x14ac:dyDescent="0.25">
      <c r="A1" s="77"/>
      <c r="B1" s="77"/>
      <c r="C1" s="77"/>
      <c r="D1" s="77"/>
      <c r="E1" s="77"/>
      <c r="F1" s="77"/>
      <c r="G1" s="77"/>
      <c r="H1" s="77"/>
      <c r="I1" s="77"/>
      <c r="J1" s="77"/>
      <c r="K1" s="77"/>
      <c r="L1" s="77"/>
      <c r="M1" s="77"/>
      <c r="N1" s="77"/>
      <c r="O1" s="77"/>
      <c r="P1" s="77"/>
      <c r="Q1" s="77"/>
      <c r="R1" s="77"/>
      <c r="S1" s="77"/>
      <c r="T1" s="77"/>
      <c r="U1" s="77"/>
      <c r="V1" s="77"/>
      <c r="W1" s="77"/>
      <c r="X1" s="77"/>
      <c r="Y1" s="77"/>
    </row>
    <row r="2" spans="1:25" x14ac:dyDescent="0.25">
      <c r="A2" s="77"/>
      <c r="B2" s="77" t="s">
        <v>109</v>
      </c>
      <c r="C2" s="77"/>
      <c r="D2" s="77"/>
      <c r="E2" s="77"/>
      <c r="F2" s="77"/>
      <c r="G2" s="77"/>
      <c r="H2" s="77"/>
      <c r="I2" s="77"/>
      <c r="J2" s="77"/>
      <c r="K2" s="77"/>
      <c r="L2" s="77"/>
      <c r="M2" s="77"/>
      <c r="N2" s="77"/>
      <c r="O2" s="77"/>
      <c r="P2" s="77"/>
      <c r="Q2" s="77"/>
      <c r="R2" s="77"/>
      <c r="S2" s="77"/>
      <c r="T2" s="77"/>
      <c r="U2" s="77"/>
      <c r="V2" s="77"/>
      <c r="W2" s="77"/>
      <c r="X2" s="77"/>
      <c r="Y2" s="77"/>
    </row>
    <row r="3" spans="1:25" x14ac:dyDescent="0.25">
      <c r="A3" s="77"/>
      <c r="B3" s="77" t="s">
        <v>164</v>
      </c>
      <c r="C3" s="77"/>
      <c r="D3" s="77"/>
      <c r="E3" s="77"/>
      <c r="F3" s="77"/>
      <c r="G3" s="77"/>
      <c r="H3" s="77"/>
      <c r="I3" s="77"/>
      <c r="J3" s="77"/>
      <c r="K3" s="77"/>
      <c r="L3" s="77"/>
      <c r="M3" s="77"/>
      <c r="N3" s="77"/>
      <c r="O3" s="77"/>
      <c r="P3" s="77"/>
      <c r="Q3" s="77"/>
      <c r="R3" s="77"/>
      <c r="S3" s="77"/>
      <c r="T3" s="77"/>
      <c r="U3" s="77"/>
      <c r="V3" s="77"/>
      <c r="W3" s="77"/>
      <c r="X3" s="77"/>
      <c r="Y3" s="77"/>
    </row>
    <row r="4" spans="1:25" x14ac:dyDescent="0.25">
      <c r="A4" s="77"/>
      <c r="B4" s="77" t="s">
        <v>245</v>
      </c>
      <c r="C4" s="77"/>
      <c r="D4" s="77"/>
      <c r="E4" s="77"/>
      <c r="F4" s="77"/>
      <c r="G4" s="77"/>
      <c r="H4" s="77"/>
      <c r="I4" s="77"/>
      <c r="J4" s="77"/>
      <c r="K4" s="77"/>
      <c r="L4" s="77"/>
      <c r="M4" s="77"/>
      <c r="N4" s="77"/>
      <c r="O4" s="77"/>
      <c r="P4" s="77"/>
      <c r="Q4" s="77"/>
      <c r="R4" s="77"/>
      <c r="S4" s="77"/>
      <c r="T4" s="77"/>
      <c r="U4" s="77"/>
      <c r="V4" s="77"/>
      <c r="W4" s="77"/>
      <c r="X4" s="77"/>
      <c r="Y4" s="77"/>
    </row>
    <row r="5" spans="1:25" x14ac:dyDescent="0.25">
      <c r="A5" s="77"/>
      <c r="B5" s="77"/>
      <c r="C5" s="77"/>
      <c r="D5" s="77"/>
      <c r="E5" s="77"/>
      <c r="F5" s="77"/>
      <c r="G5" s="77"/>
      <c r="H5" s="77"/>
      <c r="I5" s="77"/>
      <c r="J5" s="77"/>
      <c r="K5" s="77"/>
      <c r="L5" s="77"/>
      <c r="M5" s="77"/>
      <c r="N5" s="77"/>
      <c r="O5" s="77"/>
      <c r="P5" s="77"/>
      <c r="Q5" s="77"/>
      <c r="R5" s="77"/>
      <c r="S5" s="77"/>
      <c r="T5" s="77"/>
      <c r="U5" s="77"/>
      <c r="V5" s="77"/>
      <c r="W5" s="77"/>
      <c r="X5" s="77"/>
      <c r="Y5" s="77"/>
    </row>
    <row r="6" spans="1:25" ht="17.399999999999999" x14ac:dyDescent="0.3">
      <c r="A6" s="77"/>
      <c r="B6" s="78" t="s">
        <v>119</v>
      </c>
      <c r="C6" s="78"/>
      <c r="D6" s="78"/>
      <c r="E6" s="78"/>
      <c r="F6" s="77"/>
      <c r="G6" s="77"/>
      <c r="H6" s="77"/>
      <c r="I6" s="77"/>
      <c r="J6" s="77"/>
      <c r="K6" s="77"/>
      <c r="L6" s="77"/>
      <c r="M6" s="77"/>
      <c r="N6" s="77"/>
      <c r="O6" s="77"/>
      <c r="P6" s="77"/>
      <c r="Q6" s="77"/>
      <c r="R6" s="77"/>
      <c r="S6" s="77"/>
      <c r="T6" s="77"/>
      <c r="U6" s="77"/>
      <c r="V6" s="77"/>
      <c r="W6" s="77"/>
      <c r="X6" s="77"/>
      <c r="Y6" s="77"/>
    </row>
    <row r="7" spans="1:25" ht="12.75" customHeight="1" x14ac:dyDescent="0.25">
      <c r="A7" s="77"/>
      <c r="B7" s="77" t="s">
        <v>141</v>
      </c>
      <c r="C7" s="77"/>
      <c r="D7" s="77"/>
      <c r="E7" s="77"/>
      <c r="F7" s="77"/>
      <c r="G7" s="77"/>
      <c r="H7" s="77"/>
      <c r="I7" s="77"/>
      <c r="J7" s="77"/>
      <c r="K7" s="77"/>
      <c r="L7" s="77"/>
      <c r="M7" s="79" t="s">
        <v>84</v>
      </c>
      <c r="N7" s="77"/>
      <c r="O7" s="77"/>
      <c r="P7" s="77"/>
      <c r="Q7" s="77"/>
      <c r="R7" s="77"/>
      <c r="S7" s="77"/>
      <c r="T7" s="77"/>
      <c r="U7" s="77"/>
      <c r="V7" s="77"/>
      <c r="W7" s="77"/>
      <c r="X7" s="77"/>
      <c r="Y7" s="77"/>
    </row>
    <row r="8" spans="1:25" ht="12.75" customHeight="1" x14ac:dyDescent="0.25">
      <c r="A8" s="77"/>
      <c r="B8" s="77"/>
      <c r="C8" s="77"/>
      <c r="D8" s="77"/>
      <c r="E8" s="77"/>
      <c r="F8" s="80"/>
      <c r="G8" s="80" t="s">
        <v>99</v>
      </c>
      <c r="H8" s="80"/>
      <c r="I8" s="80" t="s">
        <v>88</v>
      </c>
      <c r="J8" s="80"/>
      <c r="K8" s="81" t="s">
        <v>90</v>
      </c>
      <c r="L8" s="81" t="s">
        <v>90</v>
      </c>
      <c r="M8" s="82" t="s">
        <v>110</v>
      </c>
      <c r="N8" s="77"/>
      <c r="O8" s="83"/>
      <c r="P8" s="83" t="s">
        <v>257</v>
      </c>
      <c r="Q8" s="83" t="s">
        <v>257</v>
      </c>
      <c r="R8" s="83" t="s">
        <v>258</v>
      </c>
      <c r="S8" s="77"/>
      <c r="T8" s="77"/>
      <c r="U8" s="77"/>
      <c r="V8" s="77"/>
      <c r="W8" s="77"/>
      <c r="X8" s="77"/>
      <c r="Y8" s="77"/>
    </row>
    <row r="9" spans="1:25" ht="12.75" customHeight="1" x14ac:dyDescent="0.25">
      <c r="A9" s="77"/>
      <c r="B9" s="77"/>
      <c r="C9" s="77"/>
      <c r="D9" s="77"/>
      <c r="E9" s="77"/>
      <c r="F9" s="84"/>
      <c r="G9" s="84" t="s">
        <v>171</v>
      </c>
      <c r="H9" s="84" t="s">
        <v>173</v>
      </c>
      <c r="I9" s="84" t="s">
        <v>89</v>
      </c>
      <c r="J9" s="77"/>
      <c r="K9" s="84" t="s">
        <v>5</v>
      </c>
      <c r="L9" s="84" t="s">
        <v>91</v>
      </c>
      <c r="M9" s="85" t="s">
        <v>111</v>
      </c>
      <c r="N9" s="77"/>
      <c r="O9" s="83"/>
      <c r="P9" s="86" t="s">
        <v>259</v>
      </c>
      <c r="Q9" s="86" t="s">
        <v>260</v>
      </c>
      <c r="R9" s="86" t="s">
        <v>261</v>
      </c>
      <c r="S9" s="77"/>
      <c r="T9" s="77"/>
      <c r="U9" s="77"/>
      <c r="V9" s="77"/>
      <c r="W9" s="77"/>
      <c r="X9" s="77"/>
      <c r="Y9" s="77"/>
    </row>
    <row r="10" spans="1:25" s="19" customFormat="1" ht="12.75" customHeight="1" x14ac:dyDescent="0.25">
      <c r="A10" s="79" t="s">
        <v>84</v>
      </c>
      <c r="B10" s="87" t="s">
        <v>37</v>
      </c>
      <c r="C10" s="87"/>
      <c r="D10" s="87"/>
      <c r="E10" s="87"/>
      <c r="F10" s="88" t="s">
        <v>53</v>
      </c>
      <c r="G10" s="88" t="s">
        <v>100</v>
      </c>
      <c r="H10" s="89" t="s">
        <v>172</v>
      </c>
      <c r="I10" s="88" t="s">
        <v>270</v>
      </c>
      <c r="J10" s="84" t="s">
        <v>54</v>
      </c>
      <c r="K10" s="88" t="s">
        <v>92</v>
      </c>
      <c r="L10" s="88" t="s">
        <v>93</v>
      </c>
      <c r="M10" s="90" t="s">
        <v>112</v>
      </c>
      <c r="N10" s="91"/>
      <c r="O10" s="92"/>
      <c r="P10" s="93" t="s">
        <v>262</v>
      </c>
      <c r="Q10" s="93" t="s">
        <v>262</v>
      </c>
      <c r="R10" s="93" t="s">
        <v>263</v>
      </c>
      <c r="S10" s="91"/>
      <c r="T10" s="91"/>
      <c r="U10" s="91"/>
      <c r="V10" s="91"/>
      <c r="W10" s="91"/>
      <c r="X10" s="91"/>
      <c r="Y10" s="91"/>
    </row>
    <row r="11" spans="1:25" ht="12.75" customHeight="1" x14ac:dyDescent="0.25">
      <c r="A11" s="77"/>
      <c r="B11" s="94" t="s">
        <v>38</v>
      </c>
      <c r="C11" s="94"/>
      <c r="D11" s="94"/>
      <c r="E11" s="94"/>
      <c r="F11" s="95" t="s">
        <v>52</v>
      </c>
      <c r="G11" s="175" t="s">
        <v>102</v>
      </c>
      <c r="H11" s="176">
        <v>0.2</v>
      </c>
      <c r="I11" s="177">
        <f>1100*100</f>
        <v>110000</v>
      </c>
      <c r="J11" s="178">
        <v>0.38</v>
      </c>
      <c r="K11" s="96">
        <f t="shared" ref="K11:K17" si="0">+I11*J11/7.5</f>
        <v>5573.333333333333</v>
      </c>
      <c r="L11" s="97">
        <f t="shared" ref="L11:L17" si="1">I11*(1-J11)/2000</f>
        <v>34.1</v>
      </c>
      <c r="M11" s="176">
        <v>0.1</v>
      </c>
      <c r="N11" s="98"/>
      <c r="O11" s="99"/>
      <c r="P11" s="100">
        <f t="shared" ref="P11:P17" si="2">IF(G11="p",H11*I11,0)</f>
        <v>22000</v>
      </c>
      <c r="Q11" s="100">
        <f t="shared" ref="Q11:Q17" si="3">IF(G11="r",M11*I11,0)</f>
        <v>0</v>
      </c>
      <c r="R11" s="100">
        <f t="shared" ref="R11:R17" si="4">IF(G11="r",(H11-M11)*I11,0)</f>
        <v>0</v>
      </c>
      <c r="S11" s="98"/>
      <c r="T11" s="77"/>
      <c r="U11" s="77"/>
      <c r="V11" s="77"/>
      <c r="W11" s="77"/>
      <c r="X11" s="77"/>
      <c r="Y11" s="77"/>
    </row>
    <row r="12" spans="1:25" ht="12.75" customHeight="1" x14ac:dyDescent="0.25">
      <c r="A12" s="77"/>
      <c r="B12" s="94" t="s">
        <v>39</v>
      </c>
      <c r="C12" s="94"/>
      <c r="D12" s="94"/>
      <c r="E12" s="94"/>
      <c r="F12" s="95" t="s">
        <v>52</v>
      </c>
      <c r="G12" s="175" t="s">
        <v>101</v>
      </c>
      <c r="H12" s="176">
        <v>0.18</v>
      </c>
      <c r="I12" s="177">
        <v>75000</v>
      </c>
      <c r="J12" s="178">
        <v>0.39</v>
      </c>
      <c r="K12" s="101">
        <f t="shared" si="0"/>
        <v>3900</v>
      </c>
      <c r="L12" s="97">
        <f t="shared" si="1"/>
        <v>22.875</v>
      </c>
      <c r="M12" s="176">
        <v>0.08</v>
      </c>
      <c r="N12" s="98"/>
      <c r="O12" s="99"/>
      <c r="P12" s="100">
        <f t="shared" si="2"/>
        <v>0</v>
      </c>
      <c r="Q12" s="100">
        <f t="shared" si="3"/>
        <v>6000</v>
      </c>
      <c r="R12" s="100">
        <f t="shared" si="4"/>
        <v>7499.9999999999991</v>
      </c>
      <c r="S12" s="98"/>
      <c r="T12" s="77"/>
      <c r="U12" s="77"/>
      <c r="V12" s="77"/>
      <c r="W12" s="77"/>
      <c r="X12" s="77"/>
      <c r="Y12" s="77"/>
    </row>
    <row r="13" spans="1:25" ht="12.75" customHeight="1" x14ac:dyDescent="0.25">
      <c r="A13" s="79" t="s">
        <v>84</v>
      </c>
      <c r="B13" s="94" t="s">
        <v>160</v>
      </c>
      <c r="C13" s="94"/>
      <c r="D13" s="94"/>
      <c r="E13" s="94"/>
      <c r="F13" s="95" t="s">
        <v>52</v>
      </c>
      <c r="G13" s="175" t="s">
        <v>101</v>
      </c>
      <c r="H13" s="176">
        <v>0.21</v>
      </c>
      <c r="I13" s="177">
        <v>0</v>
      </c>
      <c r="J13" s="178">
        <v>0.39500000000000002</v>
      </c>
      <c r="K13" s="101">
        <f>+I13*J13/7.5</f>
        <v>0</v>
      </c>
      <c r="L13" s="97">
        <f t="shared" si="1"/>
        <v>0</v>
      </c>
      <c r="M13" s="176">
        <v>0.1</v>
      </c>
      <c r="N13" s="98"/>
      <c r="O13" s="99"/>
      <c r="P13" s="100">
        <f t="shared" si="2"/>
        <v>0</v>
      </c>
      <c r="Q13" s="100">
        <f t="shared" si="3"/>
        <v>0</v>
      </c>
      <c r="R13" s="100">
        <f t="shared" si="4"/>
        <v>0</v>
      </c>
      <c r="S13" s="98"/>
      <c r="T13" s="77"/>
      <c r="U13" s="77"/>
      <c r="V13" s="77"/>
      <c r="W13" s="77"/>
      <c r="X13" s="77"/>
      <c r="Y13" s="77"/>
    </row>
    <row r="14" spans="1:25" ht="12.75" customHeight="1" x14ac:dyDescent="0.25">
      <c r="A14" s="77"/>
      <c r="B14" s="94" t="s">
        <v>40</v>
      </c>
      <c r="C14" s="94"/>
      <c r="D14" s="94"/>
      <c r="E14" s="94"/>
      <c r="F14" s="95" t="s">
        <v>52</v>
      </c>
      <c r="G14" s="175" t="s">
        <v>102</v>
      </c>
      <c r="H14" s="176">
        <v>0.19</v>
      </c>
      <c r="I14" s="177">
        <v>0</v>
      </c>
      <c r="J14" s="178">
        <v>0.35</v>
      </c>
      <c r="K14" s="101">
        <f t="shared" si="0"/>
        <v>0</v>
      </c>
      <c r="L14" s="97">
        <f t="shared" si="1"/>
        <v>0</v>
      </c>
      <c r="M14" s="176">
        <v>0.12</v>
      </c>
      <c r="N14" s="98"/>
      <c r="O14" s="99"/>
      <c r="P14" s="100">
        <f t="shared" si="2"/>
        <v>0</v>
      </c>
      <c r="Q14" s="100">
        <f t="shared" si="3"/>
        <v>0</v>
      </c>
      <c r="R14" s="100">
        <f t="shared" si="4"/>
        <v>0</v>
      </c>
      <c r="S14" s="98"/>
      <c r="T14" s="77"/>
      <c r="U14" s="77"/>
      <c r="V14" s="77"/>
      <c r="W14" s="77"/>
      <c r="X14" s="77"/>
      <c r="Y14" s="77"/>
    </row>
    <row r="15" spans="1:25" ht="12.75" customHeight="1" x14ac:dyDescent="0.25">
      <c r="A15" s="77"/>
      <c r="B15" s="94" t="s">
        <v>41</v>
      </c>
      <c r="C15" s="94"/>
      <c r="D15" s="94"/>
      <c r="E15" s="94"/>
      <c r="F15" s="95" t="s">
        <v>52</v>
      </c>
      <c r="G15" s="175" t="s">
        <v>102</v>
      </c>
      <c r="H15" s="176">
        <v>0.26</v>
      </c>
      <c r="I15" s="177">
        <v>0</v>
      </c>
      <c r="J15" s="178">
        <v>0.3</v>
      </c>
      <c r="K15" s="101">
        <f t="shared" si="0"/>
        <v>0</v>
      </c>
      <c r="L15" s="97">
        <f t="shared" si="1"/>
        <v>0</v>
      </c>
      <c r="M15" s="176">
        <v>0.1</v>
      </c>
      <c r="N15" s="98"/>
      <c r="O15" s="99"/>
      <c r="P15" s="100">
        <f t="shared" si="2"/>
        <v>0</v>
      </c>
      <c r="Q15" s="100">
        <f t="shared" si="3"/>
        <v>0</v>
      </c>
      <c r="R15" s="100">
        <f t="shared" si="4"/>
        <v>0</v>
      </c>
      <c r="S15" s="98"/>
      <c r="T15" s="77"/>
      <c r="U15" s="77"/>
      <c r="V15" s="77"/>
      <c r="W15" s="77"/>
      <c r="X15" s="77"/>
      <c r="Y15" s="77"/>
    </row>
    <row r="16" spans="1:25" ht="12.75" customHeight="1" x14ac:dyDescent="0.25">
      <c r="A16" s="77"/>
      <c r="B16" s="173" t="s">
        <v>86</v>
      </c>
      <c r="C16" s="173"/>
      <c r="D16" s="173"/>
      <c r="E16" s="173"/>
      <c r="F16" s="95" t="s">
        <v>52</v>
      </c>
      <c r="G16" s="175" t="s">
        <v>102</v>
      </c>
      <c r="H16" s="176">
        <v>0</v>
      </c>
      <c r="I16" s="177">
        <v>0</v>
      </c>
      <c r="J16" s="178">
        <v>0</v>
      </c>
      <c r="K16" s="101">
        <f t="shared" si="0"/>
        <v>0</v>
      </c>
      <c r="L16" s="97">
        <f t="shared" si="1"/>
        <v>0</v>
      </c>
      <c r="M16" s="176">
        <v>0</v>
      </c>
      <c r="N16" s="98"/>
      <c r="O16" s="99"/>
      <c r="P16" s="100">
        <f t="shared" si="2"/>
        <v>0</v>
      </c>
      <c r="Q16" s="100">
        <f t="shared" si="3"/>
        <v>0</v>
      </c>
      <c r="R16" s="100">
        <f t="shared" si="4"/>
        <v>0</v>
      </c>
      <c r="S16" s="98"/>
      <c r="T16" s="77"/>
      <c r="U16" s="77"/>
      <c r="V16" s="77"/>
      <c r="W16" s="77"/>
      <c r="X16" s="77"/>
      <c r="Y16" s="77"/>
    </row>
    <row r="17" spans="1:25" ht="12.75" customHeight="1" x14ac:dyDescent="0.25">
      <c r="A17" s="77"/>
      <c r="B17" s="174" t="s">
        <v>86</v>
      </c>
      <c r="C17" s="174"/>
      <c r="D17" s="174"/>
      <c r="E17" s="174"/>
      <c r="F17" s="102" t="s">
        <v>52</v>
      </c>
      <c r="G17" s="175" t="s">
        <v>101</v>
      </c>
      <c r="H17" s="176">
        <v>0</v>
      </c>
      <c r="I17" s="177">
        <v>0</v>
      </c>
      <c r="J17" s="178">
        <v>0</v>
      </c>
      <c r="K17" s="103">
        <f t="shared" si="0"/>
        <v>0</v>
      </c>
      <c r="L17" s="104">
        <f t="shared" si="1"/>
        <v>0</v>
      </c>
      <c r="M17" s="176">
        <v>0</v>
      </c>
      <c r="N17" s="98"/>
      <c r="O17" s="99"/>
      <c r="P17" s="105">
        <f t="shared" si="2"/>
        <v>0</v>
      </c>
      <c r="Q17" s="105">
        <f t="shared" si="3"/>
        <v>0</v>
      </c>
      <c r="R17" s="105">
        <f t="shared" si="4"/>
        <v>0</v>
      </c>
      <c r="S17" s="98"/>
      <c r="T17" s="77"/>
      <c r="U17" s="77"/>
      <c r="V17" s="77"/>
      <c r="W17" s="77"/>
      <c r="X17" s="77"/>
      <c r="Y17" s="77"/>
    </row>
    <row r="18" spans="1:25" ht="12.75" customHeight="1" x14ac:dyDescent="0.25">
      <c r="A18" s="77"/>
      <c r="B18" s="106"/>
      <c r="C18" s="106"/>
      <c r="D18" s="106"/>
      <c r="E18" s="106"/>
      <c r="F18" s="107"/>
      <c r="G18" s="107"/>
      <c r="H18" s="108" t="s">
        <v>176</v>
      </c>
      <c r="I18" s="109">
        <f>SUM(I11:I17)</f>
        <v>185000</v>
      </c>
      <c r="J18" s="94"/>
      <c r="K18" s="77"/>
      <c r="L18" s="77"/>
      <c r="M18" s="98"/>
      <c r="N18" s="98"/>
      <c r="O18" s="110" t="s">
        <v>264</v>
      </c>
      <c r="P18" s="100">
        <f>SUM(P11:P17)</f>
        <v>22000</v>
      </c>
      <c r="Q18" s="100">
        <f>SUM(Q11:Q17)</f>
        <v>6000</v>
      </c>
      <c r="R18" s="100">
        <f>SUM(R11:R17)</f>
        <v>7499.9999999999991</v>
      </c>
      <c r="S18" s="98"/>
      <c r="T18" s="77"/>
      <c r="U18" s="77"/>
      <c r="V18" s="77"/>
      <c r="W18" s="77"/>
      <c r="X18" s="77"/>
      <c r="Y18" s="77"/>
    </row>
    <row r="19" spans="1:25" ht="12.75" customHeight="1" x14ac:dyDescent="0.25">
      <c r="A19" s="77"/>
      <c r="B19" s="106"/>
      <c r="C19" s="106"/>
      <c r="D19" s="106"/>
      <c r="E19" s="106"/>
      <c r="F19" s="107"/>
      <c r="G19" s="107"/>
      <c r="H19" s="108" t="s">
        <v>204</v>
      </c>
      <c r="I19" s="77">
        <f>+I18/2000</f>
        <v>92.5</v>
      </c>
      <c r="J19" s="94"/>
      <c r="K19" s="111"/>
      <c r="L19" s="97"/>
      <c r="M19" s="98"/>
      <c r="N19" s="99"/>
      <c r="O19" s="99"/>
      <c r="P19" s="110" t="s">
        <v>265</v>
      </c>
      <c r="Q19" s="100">
        <f>P18+Q18</f>
        <v>28000</v>
      </c>
      <c r="R19" s="112"/>
      <c r="S19" s="98"/>
      <c r="T19" s="77"/>
      <c r="U19" s="77"/>
      <c r="V19" s="77"/>
      <c r="W19" s="77"/>
      <c r="X19" s="77"/>
      <c r="Y19" s="77"/>
    </row>
    <row r="20" spans="1:25" ht="12.75" customHeight="1" x14ac:dyDescent="0.25">
      <c r="A20" s="77"/>
      <c r="B20" s="106"/>
      <c r="C20" s="106"/>
      <c r="D20" s="106"/>
      <c r="E20" s="106"/>
      <c r="F20" s="107"/>
      <c r="G20" s="107"/>
      <c r="H20" s="108" t="s">
        <v>174</v>
      </c>
      <c r="I20" s="113">
        <f>SUM(K11:K17)</f>
        <v>9473.3333333333321</v>
      </c>
      <c r="J20" s="77"/>
      <c r="K20" s="77"/>
      <c r="L20" s="114"/>
      <c r="M20" s="98"/>
      <c r="N20" s="98"/>
      <c r="O20" s="98"/>
      <c r="P20" s="98"/>
      <c r="Q20" s="110" t="s">
        <v>266</v>
      </c>
      <c r="R20" s="100">
        <f>Q19+R18</f>
        <v>35500</v>
      </c>
      <c r="S20" s="98"/>
      <c r="T20" s="77"/>
      <c r="U20" s="77"/>
      <c r="V20" s="77"/>
      <c r="W20" s="77"/>
      <c r="X20" s="77"/>
      <c r="Y20" s="77"/>
    </row>
    <row r="21" spans="1:25" ht="12.75" customHeight="1" x14ac:dyDescent="0.25">
      <c r="A21" s="77"/>
      <c r="B21" s="106"/>
      <c r="C21" s="106"/>
      <c r="D21" s="106"/>
      <c r="E21" s="106"/>
      <c r="F21" s="107"/>
      <c r="G21" s="115"/>
      <c r="H21" s="108" t="s">
        <v>175</v>
      </c>
      <c r="I21" s="116">
        <f>SUM(L11:L17)</f>
        <v>56.975000000000001</v>
      </c>
      <c r="J21" s="77"/>
      <c r="K21" s="77"/>
      <c r="L21" s="77"/>
      <c r="M21" s="98"/>
      <c r="N21" s="98"/>
      <c r="O21" s="98"/>
      <c r="P21" s="98"/>
      <c r="Q21" s="98"/>
      <c r="R21" s="98"/>
      <c r="S21" s="98"/>
      <c r="T21" s="77"/>
      <c r="U21" s="77"/>
      <c r="V21" s="77"/>
      <c r="W21" s="77"/>
      <c r="X21" s="77"/>
      <c r="Y21" s="77"/>
    </row>
    <row r="22" spans="1:25" ht="12.75" customHeight="1" x14ac:dyDescent="0.25">
      <c r="A22" s="77"/>
      <c r="B22" s="106"/>
      <c r="C22" s="106"/>
      <c r="D22" s="106"/>
      <c r="E22" s="106"/>
      <c r="F22" s="107"/>
      <c r="G22" s="107"/>
      <c r="H22" s="117"/>
      <c r="I22" s="118"/>
      <c r="J22" s="77"/>
      <c r="K22" s="98"/>
      <c r="L22" s="114"/>
      <c r="M22" s="98"/>
      <c r="N22" s="98"/>
      <c r="O22" s="98"/>
      <c r="P22" s="98"/>
      <c r="Q22" s="98"/>
      <c r="R22" s="98"/>
      <c r="S22" s="98"/>
      <c r="T22" s="77"/>
      <c r="U22" s="77"/>
      <c r="V22" s="77"/>
      <c r="W22" s="77"/>
      <c r="X22" s="77"/>
      <c r="Y22" s="77"/>
    </row>
    <row r="23" spans="1:25" ht="12.75" customHeight="1" x14ac:dyDescent="0.25">
      <c r="A23" s="77"/>
      <c r="B23" s="119"/>
      <c r="C23" s="119"/>
      <c r="D23" s="119"/>
      <c r="E23" s="119"/>
      <c r="F23" s="77"/>
      <c r="G23" s="77"/>
      <c r="H23" s="120"/>
      <c r="I23" s="77"/>
      <c r="J23" s="120"/>
      <c r="K23" s="98"/>
      <c r="L23" s="77"/>
      <c r="M23" s="77"/>
      <c r="N23" s="77"/>
      <c r="O23" s="77"/>
      <c r="P23" s="98"/>
      <c r="Q23" s="98"/>
      <c r="R23" s="98"/>
      <c r="S23" s="77"/>
      <c r="T23" s="77"/>
      <c r="U23" s="77"/>
      <c r="V23" s="77"/>
      <c r="W23" s="77"/>
      <c r="X23" s="77"/>
      <c r="Y23" s="77"/>
    </row>
    <row r="24" spans="1:25" ht="12.75" customHeight="1" x14ac:dyDescent="0.25">
      <c r="A24" s="77"/>
      <c r="B24" s="121" t="s">
        <v>147</v>
      </c>
      <c r="C24" s="121"/>
      <c r="D24" s="121"/>
      <c r="E24" s="121"/>
      <c r="F24" s="121"/>
      <c r="G24" s="121"/>
      <c r="H24" s="122" t="s">
        <v>48</v>
      </c>
      <c r="I24" s="123" t="s">
        <v>49</v>
      </c>
      <c r="J24" s="77"/>
      <c r="K24" s="124" t="s">
        <v>220</v>
      </c>
      <c r="L24" s="77"/>
      <c r="M24" s="77"/>
      <c r="N24" s="77"/>
      <c r="O24" s="77"/>
      <c r="P24" s="77"/>
      <c r="Q24" s="77"/>
      <c r="R24" s="77"/>
      <c r="S24" s="77"/>
      <c r="T24" s="77"/>
      <c r="U24" s="77"/>
      <c r="V24" s="77"/>
      <c r="W24" s="77"/>
      <c r="X24" s="77"/>
      <c r="Y24" s="77"/>
    </row>
    <row r="25" spans="1:25" ht="12.75" customHeight="1" x14ac:dyDescent="0.25">
      <c r="A25" s="79" t="s">
        <v>84</v>
      </c>
      <c r="B25" s="125" t="s">
        <v>125</v>
      </c>
      <c r="C25" s="125"/>
      <c r="D25" s="125"/>
      <c r="E25" s="125"/>
      <c r="F25" s="125"/>
      <c r="G25" s="125"/>
      <c r="H25" s="177">
        <v>5</v>
      </c>
      <c r="I25" s="177">
        <v>10</v>
      </c>
      <c r="J25" s="77"/>
      <c r="K25" s="126"/>
      <c r="L25" s="77"/>
      <c r="M25" s="77"/>
      <c r="N25" s="77"/>
      <c r="O25" s="77"/>
      <c r="P25" s="77"/>
      <c r="Q25" s="77"/>
      <c r="R25" s="77"/>
      <c r="S25" s="77"/>
      <c r="T25" s="77"/>
      <c r="U25" s="77"/>
      <c r="V25" s="77"/>
      <c r="W25" s="77"/>
      <c r="X25" s="77"/>
      <c r="Y25" s="77"/>
    </row>
    <row r="26" spans="1:25" ht="12.75" customHeight="1" x14ac:dyDescent="0.25">
      <c r="A26" s="77"/>
      <c r="B26" s="94" t="s">
        <v>126</v>
      </c>
      <c r="C26" s="94"/>
      <c r="D26" s="94"/>
      <c r="E26" s="94"/>
      <c r="F26" s="94"/>
      <c r="G26" s="94"/>
      <c r="H26" s="179">
        <v>8</v>
      </c>
      <c r="I26" s="179">
        <v>8</v>
      </c>
      <c r="J26" s="77"/>
      <c r="K26" s="126"/>
      <c r="L26" s="77"/>
      <c r="M26" s="77"/>
      <c r="N26" s="77"/>
      <c r="O26" s="77"/>
      <c r="P26" s="77"/>
      <c r="Q26" s="77"/>
      <c r="R26" s="77"/>
      <c r="S26" s="77"/>
      <c r="T26" s="77"/>
      <c r="U26" s="77"/>
      <c r="V26" s="77"/>
      <c r="W26" s="77"/>
      <c r="X26" s="77"/>
      <c r="Y26" s="77"/>
    </row>
    <row r="27" spans="1:25" ht="12.75" customHeight="1" x14ac:dyDescent="0.25">
      <c r="A27" s="77"/>
      <c r="B27" s="119" t="s">
        <v>127</v>
      </c>
      <c r="C27" s="119"/>
      <c r="D27" s="119"/>
      <c r="E27" s="119"/>
      <c r="F27" s="94"/>
      <c r="G27" s="94"/>
      <c r="H27" s="127">
        <f>H26/24*H25</f>
        <v>1.6666666666666665</v>
      </c>
      <c r="I27" s="127">
        <f>I26/24*I25</f>
        <v>3.333333333333333</v>
      </c>
      <c r="J27" s="77"/>
      <c r="K27" s="126"/>
      <c r="L27" s="77"/>
      <c r="M27" s="77"/>
      <c r="N27" s="77"/>
      <c r="O27" s="77"/>
      <c r="P27" s="77"/>
      <c r="Q27" s="77"/>
      <c r="R27" s="77"/>
      <c r="S27" s="77"/>
      <c r="T27" s="77"/>
      <c r="U27" s="77"/>
      <c r="V27" s="77"/>
      <c r="W27" s="77"/>
      <c r="X27" s="77"/>
      <c r="Y27" s="77"/>
    </row>
    <row r="28" spans="1:25" ht="12.75" customHeight="1" x14ac:dyDescent="0.25">
      <c r="A28" s="77"/>
      <c r="B28" s="125" t="s">
        <v>205</v>
      </c>
      <c r="C28" s="125"/>
      <c r="D28" s="125"/>
      <c r="E28" s="125"/>
      <c r="F28" s="125"/>
      <c r="G28" s="125"/>
      <c r="H28" s="128">
        <f>I19/(H25*H26/24)</f>
        <v>55.5</v>
      </c>
      <c r="I28" s="128">
        <f>IF(OR(I25=0,I26=0),0,I19/(I25*I26/24))</f>
        <v>27.75</v>
      </c>
      <c r="J28" s="77"/>
      <c r="K28" s="126"/>
      <c r="L28" s="77"/>
      <c r="M28" s="77"/>
      <c r="N28" s="77"/>
      <c r="O28" s="77"/>
      <c r="P28" s="77"/>
      <c r="Q28" s="77"/>
      <c r="R28" s="77"/>
      <c r="S28" s="77"/>
      <c r="T28" s="77"/>
      <c r="U28" s="77"/>
      <c r="V28" s="77"/>
      <c r="W28" s="77"/>
      <c r="X28" s="77"/>
      <c r="Y28" s="77"/>
    </row>
    <row r="29" spans="1:25" ht="12.75" customHeight="1" x14ac:dyDescent="0.25">
      <c r="A29" s="79" t="s">
        <v>84</v>
      </c>
      <c r="B29" s="94" t="s">
        <v>161</v>
      </c>
      <c r="C29" s="94"/>
      <c r="D29" s="94"/>
      <c r="E29" s="94"/>
      <c r="F29" s="94"/>
      <c r="G29" s="94"/>
      <c r="H29" s="129">
        <f>H26/H27</f>
        <v>4.8000000000000007</v>
      </c>
      <c r="I29" s="129">
        <f>IF(I27=0,0,I26/I27)</f>
        <v>2.4000000000000004</v>
      </c>
      <c r="J29" s="77"/>
      <c r="K29" s="126"/>
      <c r="L29" s="77"/>
      <c r="M29" s="77"/>
      <c r="N29" s="77"/>
      <c r="O29" s="77"/>
      <c r="P29" s="77"/>
      <c r="Q29" s="77"/>
      <c r="R29" s="77"/>
      <c r="S29" s="77"/>
      <c r="T29" s="77"/>
      <c r="U29" s="77"/>
      <c r="V29" s="77"/>
      <c r="W29" s="77"/>
      <c r="X29" s="77"/>
      <c r="Y29" s="77"/>
    </row>
    <row r="30" spans="1:25" ht="12.75" customHeight="1" x14ac:dyDescent="0.25">
      <c r="A30" s="79" t="s">
        <v>84</v>
      </c>
      <c r="B30" s="125" t="s">
        <v>94</v>
      </c>
      <c r="C30" s="125"/>
      <c r="D30" s="125"/>
      <c r="E30" s="125"/>
      <c r="F30" s="125"/>
      <c r="G30" s="125"/>
      <c r="H30" s="180">
        <v>0.72</v>
      </c>
      <c r="I30" s="180">
        <v>0.76</v>
      </c>
      <c r="J30" s="77"/>
      <c r="K30" s="77"/>
      <c r="L30" s="77"/>
      <c r="M30" s="77"/>
      <c r="N30" s="77"/>
      <c r="O30" s="77"/>
      <c r="P30" s="77"/>
      <c r="Q30" s="77"/>
      <c r="R30" s="77"/>
      <c r="S30" s="77"/>
      <c r="T30" s="77"/>
      <c r="U30" s="77"/>
      <c r="V30" s="77"/>
      <c r="W30" s="77"/>
      <c r="X30" s="77"/>
      <c r="Y30" s="77"/>
    </row>
    <row r="31" spans="1:25" ht="12.75" customHeight="1" x14ac:dyDescent="0.25">
      <c r="A31" s="79" t="s">
        <v>84</v>
      </c>
      <c r="B31" s="130" t="s">
        <v>118</v>
      </c>
      <c r="C31" s="130"/>
      <c r="D31" s="130"/>
      <c r="E31" s="130"/>
      <c r="F31" s="125"/>
      <c r="G31" s="125"/>
      <c r="H31" s="76">
        <v>0.05</v>
      </c>
      <c r="I31" s="76">
        <v>0.05</v>
      </c>
      <c r="J31" s="77"/>
      <c r="K31" s="77"/>
      <c r="L31" s="77"/>
      <c r="M31" s="77"/>
      <c r="N31" s="77"/>
      <c r="O31" s="77"/>
      <c r="P31" s="77"/>
      <c r="Q31" s="77"/>
      <c r="R31" s="77"/>
      <c r="S31" s="77"/>
      <c r="T31" s="77"/>
      <c r="U31" s="77"/>
      <c r="V31" s="77"/>
      <c r="W31" s="77"/>
      <c r="X31" s="77"/>
      <c r="Y31" s="77"/>
    </row>
    <row r="32" spans="1:25" ht="12.75" customHeight="1" x14ac:dyDescent="0.25">
      <c r="A32" s="131"/>
      <c r="B32" s="77"/>
      <c r="C32" s="77"/>
      <c r="D32" s="77"/>
      <c r="E32" s="77"/>
      <c r="F32" s="77"/>
      <c r="G32" s="77"/>
      <c r="H32" s="77"/>
      <c r="I32" s="77"/>
      <c r="J32" s="77"/>
      <c r="K32" s="77"/>
      <c r="L32" s="77"/>
      <c r="M32" s="77"/>
      <c r="N32" s="77"/>
      <c r="O32" s="77"/>
      <c r="P32" s="77"/>
      <c r="Q32" s="77"/>
      <c r="R32" s="77"/>
      <c r="S32" s="77"/>
      <c r="T32" s="77"/>
      <c r="U32" s="77"/>
      <c r="V32" s="77"/>
      <c r="W32" s="77"/>
      <c r="X32" s="77"/>
      <c r="Y32" s="77"/>
    </row>
    <row r="33" spans="1:25" ht="12.75" customHeight="1" x14ac:dyDescent="0.25">
      <c r="A33" s="77"/>
      <c r="B33" s="77"/>
      <c r="C33" s="77"/>
      <c r="D33" s="77"/>
      <c r="E33" s="77"/>
      <c r="F33" s="77"/>
      <c r="G33" s="77"/>
      <c r="H33" s="77"/>
      <c r="I33" s="77"/>
      <c r="J33" s="77"/>
      <c r="K33" s="77"/>
      <c r="L33" s="77"/>
      <c r="M33" s="77"/>
      <c r="N33" s="77"/>
      <c r="O33" s="77"/>
      <c r="P33" s="77"/>
      <c r="Q33" s="77"/>
      <c r="R33" s="77"/>
      <c r="S33" s="77"/>
      <c r="T33" s="77"/>
      <c r="U33" s="77"/>
      <c r="V33" s="77"/>
      <c r="W33" s="77"/>
      <c r="X33" s="77"/>
      <c r="Y33" s="77"/>
    </row>
    <row r="34" spans="1:25" ht="12.75" customHeight="1" x14ac:dyDescent="0.25">
      <c r="A34" s="77"/>
      <c r="B34" s="121" t="s">
        <v>51</v>
      </c>
      <c r="C34" s="121"/>
      <c r="D34" s="121"/>
      <c r="E34" s="121"/>
      <c r="F34" s="121"/>
      <c r="G34" s="121"/>
      <c r="H34" s="77"/>
      <c r="I34" s="77"/>
      <c r="J34" s="77"/>
      <c r="K34" s="77"/>
      <c r="L34" s="77"/>
      <c r="M34" s="77"/>
      <c r="N34" s="77"/>
      <c r="O34" s="77"/>
      <c r="P34" s="77"/>
      <c r="Q34" s="77"/>
      <c r="R34" s="77"/>
      <c r="S34" s="77"/>
      <c r="T34" s="77"/>
      <c r="U34" s="77"/>
      <c r="V34" s="77"/>
      <c r="W34" s="77"/>
      <c r="X34" s="77"/>
      <c r="Y34" s="77"/>
    </row>
    <row r="35" spans="1:25" ht="12.75" customHeight="1" x14ac:dyDescent="0.25">
      <c r="A35" s="77"/>
      <c r="B35" s="94" t="s">
        <v>87</v>
      </c>
      <c r="C35" s="94"/>
      <c r="D35" s="94"/>
      <c r="E35" s="94"/>
      <c r="F35" s="94"/>
      <c r="G35" s="94"/>
      <c r="H35" s="111">
        <f>+(I11*J11+I12*J12+I13*J13+I14*J14+I15*J15+I16*J16+I17*J17)*H30/7.5</f>
        <v>6820.8</v>
      </c>
      <c r="I35" s="111">
        <f>+(I11*J11+I12*J12+I13*J13+I14*J14+I15*J15+I16*J16+I17*J17)*I30/7.5</f>
        <v>7199.7333333333336</v>
      </c>
      <c r="J35" s="77"/>
      <c r="K35" s="77"/>
      <c r="L35" s="77"/>
      <c r="M35" s="77"/>
      <c r="N35" s="77"/>
      <c r="O35" s="77"/>
      <c r="P35" s="77"/>
      <c r="Q35" s="77"/>
      <c r="R35" s="77"/>
      <c r="S35" s="77"/>
      <c r="T35" s="77"/>
      <c r="U35" s="77"/>
      <c r="V35" s="77"/>
      <c r="W35" s="77"/>
      <c r="X35" s="77"/>
      <c r="Y35" s="77"/>
    </row>
    <row r="36" spans="1:25" ht="12.75" customHeight="1" x14ac:dyDescent="0.25">
      <c r="A36" s="77"/>
      <c r="B36" s="119" t="s">
        <v>292</v>
      </c>
      <c r="C36" s="119"/>
      <c r="D36" s="119"/>
      <c r="E36" s="119"/>
      <c r="F36" s="94"/>
      <c r="G36" s="94"/>
      <c r="H36" s="111">
        <f>H35/H28</f>
        <v>122.8972972972973</v>
      </c>
      <c r="I36" s="111">
        <f>IF(I28=0,0,I35/I28)</f>
        <v>259.44984984984984</v>
      </c>
      <c r="J36" s="77"/>
      <c r="K36" s="77"/>
      <c r="L36" s="77"/>
      <c r="M36" s="77"/>
      <c r="N36" s="77"/>
      <c r="O36" s="77"/>
      <c r="P36" s="77"/>
      <c r="Q36" s="77"/>
      <c r="R36" s="77"/>
      <c r="S36" s="77"/>
      <c r="T36" s="77"/>
      <c r="U36" s="77"/>
      <c r="V36" s="77"/>
      <c r="W36" s="77"/>
      <c r="X36" s="77"/>
      <c r="Y36" s="77"/>
    </row>
    <row r="37" spans="1:25" ht="12.75" customHeight="1" x14ac:dyDescent="0.25">
      <c r="A37" s="77"/>
      <c r="B37" s="94"/>
      <c r="C37" s="94"/>
      <c r="D37" s="94"/>
      <c r="E37" s="94"/>
      <c r="F37" s="94"/>
      <c r="G37" s="94"/>
      <c r="H37" s="111"/>
      <c r="I37" s="77"/>
      <c r="J37" s="77"/>
      <c r="K37" s="77"/>
      <c r="L37" s="77"/>
      <c r="M37" s="77"/>
      <c r="N37" s="77"/>
      <c r="O37" s="77"/>
      <c r="P37" s="77"/>
      <c r="Q37" s="77"/>
      <c r="R37" s="77"/>
      <c r="S37" s="77"/>
      <c r="T37" s="77"/>
      <c r="U37" s="77"/>
      <c r="V37" s="77"/>
      <c r="W37" s="77"/>
      <c r="X37" s="77"/>
      <c r="Y37" s="77"/>
    </row>
    <row r="38" spans="1:25" ht="12.75" customHeight="1" x14ac:dyDescent="0.25">
      <c r="A38" s="77"/>
      <c r="B38" s="94" t="s">
        <v>130</v>
      </c>
      <c r="C38" s="94"/>
      <c r="D38" s="94"/>
      <c r="E38" s="94"/>
      <c r="F38" s="94"/>
      <c r="G38" s="94"/>
      <c r="H38" s="97">
        <f>(1-H31)*$I$18/2000-(H35*7.5/2000)</f>
        <v>62.296999999999997</v>
      </c>
      <c r="I38" s="97">
        <f>(1-I31)*$I$18/2000-(I35*7.5/2000)</f>
        <v>60.876000000000005</v>
      </c>
      <c r="J38" s="77"/>
      <c r="K38" s="77"/>
      <c r="L38" s="77"/>
      <c r="M38" s="77"/>
      <c r="N38" s="77"/>
      <c r="O38" s="77"/>
      <c r="P38" s="77"/>
      <c r="Q38" s="77"/>
      <c r="R38" s="77"/>
      <c r="S38" s="77"/>
      <c r="T38" s="77"/>
      <c r="U38" s="77"/>
      <c r="V38" s="77"/>
      <c r="W38" s="77"/>
      <c r="X38" s="77"/>
      <c r="Y38" s="77"/>
    </row>
    <row r="39" spans="1:25" ht="12.75" customHeight="1" x14ac:dyDescent="0.25">
      <c r="A39" s="77"/>
      <c r="B39" s="94"/>
      <c r="C39" s="94"/>
      <c r="D39" s="94"/>
      <c r="E39" s="94"/>
      <c r="F39" s="94"/>
      <c r="G39" s="94"/>
      <c r="H39" s="132"/>
      <c r="I39" s="132"/>
      <c r="J39" s="77"/>
      <c r="K39" s="77"/>
      <c r="L39" s="77"/>
      <c r="M39" s="77"/>
      <c r="N39" s="77"/>
      <c r="O39" s="77"/>
      <c r="P39" s="77"/>
      <c r="Q39" s="77"/>
      <c r="R39" s="77"/>
      <c r="S39" s="77"/>
      <c r="T39" s="77"/>
      <c r="U39" s="77"/>
      <c r="V39" s="77"/>
      <c r="W39" s="77"/>
      <c r="X39" s="77"/>
      <c r="Y39" s="77"/>
    </row>
    <row r="40" spans="1:25" ht="12.75" customHeight="1" x14ac:dyDescent="0.25">
      <c r="A40" s="77"/>
      <c r="B40" s="77"/>
      <c r="C40" s="77"/>
      <c r="D40" s="77"/>
      <c r="E40" s="77"/>
      <c r="F40" s="77"/>
      <c r="G40" s="77"/>
      <c r="H40" s="77"/>
      <c r="I40" s="133"/>
      <c r="J40" s="77"/>
      <c r="K40" s="77"/>
      <c r="L40" s="77"/>
      <c r="M40" s="77"/>
      <c r="N40" s="77"/>
      <c r="O40" s="77"/>
      <c r="P40" s="77"/>
      <c r="Q40" s="77"/>
      <c r="R40" s="77"/>
      <c r="S40" s="77"/>
      <c r="T40" s="77"/>
      <c r="U40" s="77"/>
      <c r="V40" s="77"/>
      <c r="W40" s="77"/>
      <c r="X40" s="77"/>
      <c r="Y40" s="77"/>
    </row>
    <row r="41" spans="1:25" ht="12.75" customHeight="1" x14ac:dyDescent="0.25">
      <c r="A41" s="77"/>
      <c r="B41" s="121" t="s">
        <v>50</v>
      </c>
      <c r="C41" s="121"/>
      <c r="D41" s="121"/>
      <c r="E41" s="121"/>
      <c r="F41" s="121"/>
      <c r="G41" s="121"/>
      <c r="H41" s="77"/>
      <c r="I41" s="77"/>
      <c r="J41" s="77"/>
      <c r="K41" s="77"/>
      <c r="L41" s="77"/>
      <c r="M41" s="77"/>
      <c r="N41" s="77"/>
      <c r="O41" s="77"/>
      <c r="P41" s="77"/>
      <c r="Q41" s="77"/>
      <c r="R41" s="77"/>
      <c r="S41" s="77"/>
      <c r="T41" s="77"/>
      <c r="U41" s="77"/>
      <c r="V41" s="77"/>
      <c r="W41" s="77"/>
      <c r="X41" s="77"/>
      <c r="Y41" s="77"/>
    </row>
    <row r="42" spans="1:25" ht="12.75" customHeight="1" x14ac:dyDescent="0.25">
      <c r="A42" s="79" t="s">
        <v>84</v>
      </c>
      <c r="B42" s="134" t="s">
        <v>290</v>
      </c>
      <c r="C42" s="134"/>
      <c r="D42" s="134"/>
      <c r="E42" s="134"/>
      <c r="F42" s="135"/>
      <c r="G42" s="135"/>
      <c r="H42" s="75">
        <v>0.8</v>
      </c>
      <c r="I42" s="75">
        <v>0.8</v>
      </c>
      <c r="J42" s="77"/>
      <c r="K42" s="77"/>
      <c r="L42" s="77"/>
      <c r="M42" s="77"/>
      <c r="N42" s="77"/>
      <c r="O42" s="77"/>
      <c r="P42" s="77"/>
      <c r="Q42" s="77"/>
      <c r="R42" s="77"/>
      <c r="S42" s="77"/>
      <c r="T42" s="77"/>
      <c r="U42" s="77"/>
      <c r="V42" s="77"/>
      <c r="W42" s="77"/>
      <c r="X42" s="77"/>
      <c r="Y42" s="77"/>
    </row>
    <row r="43" spans="1:25" ht="12.75" customHeight="1" x14ac:dyDescent="0.25">
      <c r="A43" s="77"/>
      <c r="B43" s="125"/>
      <c r="C43" s="125"/>
      <c r="D43" s="125"/>
      <c r="E43" s="125"/>
      <c r="F43" s="136"/>
      <c r="G43" s="136"/>
      <c r="H43" s="137"/>
      <c r="I43" s="77"/>
      <c r="J43" s="77"/>
      <c r="K43" s="77"/>
      <c r="L43" s="77"/>
      <c r="M43" s="77"/>
      <c r="N43" s="77"/>
      <c r="O43" s="77"/>
      <c r="P43" s="77"/>
      <c r="Q43" s="77"/>
      <c r="R43" s="77"/>
      <c r="S43" s="77"/>
      <c r="T43" s="77"/>
      <c r="U43" s="77"/>
      <c r="V43" s="77"/>
      <c r="W43" s="77"/>
      <c r="X43" s="77"/>
      <c r="Y43" s="77"/>
    </row>
    <row r="44" spans="1:25" ht="12.75" customHeight="1" x14ac:dyDescent="0.25">
      <c r="A44" s="79" t="s">
        <v>84</v>
      </c>
      <c r="B44" s="94" t="s">
        <v>129</v>
      </c>
      <c r="C44" s="94"/>
      <c r="D44" s="94"/>
      <c r="E44" s="94"/>
      <c r="F44" s="94"/>
      <c r="G44" s="94"/>
      <c r="H44" s="181">
        <v>320</v>
      </c>
      <c r="I44" s="181">
        <v>320</v>
      </c>
      <c r="J44" s="77"/>
      <c r="L44" s="77"/>
      <c r="M44" s="77"/>
      <c r="N44" s="77"/>
      <c r="O44" s="77"/>
      <c r="P44" s="77"/>
      <c r="Q44" s="77"/>
      <c r="R44" s="77"/>
      <c r="S44" s="77"/>
      <c r="T44" s="77"/>
      <c r="U44" s="77"/>
      <c r="V44" s="77"/>
      <c r="W44" s="77"/>
      <c r="X44" s="77"/>
      <c r="Y44" s="77"/>
    </row>
    <row r="45" spans="1:25" ht="12.75" customHeight="1" x14ac:dyDescent="0.25">
      <c r="A45" s="79" t="s">
        <v>84</v>
      </c>
      <c r="B45" s="94" t="s">
        <v>207</v>
      </c>
      <c r="C45" s="94"/>
      <c r="D45" s="94"/>
      <c r="E45" s="94"/>
      <c r="F45" s="94"/>
      <c r="G45" s="94"/>
      <c r="H45" s="181">
        <v>20</v>
      </c>
      <c r="I45" s="181">
        <v>20</v>
      </c>
      <c r="J45" s="77"/>
      <c r="K45" s="77"/>
      <c r="L45" s="77"/>
      <c r="M45" s="77"/>
      <c r="N45" s="77"/>
      <c r="O45" s="77"/>
      <c r="P45" s="77"/>
      <c r="Q45" s="77"/>
      <c r="R45" s="77"/>
      <c r="S45" s="77"/>
      <c r="T45" s="77"/>
      <c r="U45" s="77"/>
      <c r="V45" s="77"/>
      <c r="W45" s="77"/>
      <c r="X45" s="77"/>
      <c r="Y45" s="77"/>
    </row>
    <row r="46" spans="1:25" ht="12.75" customHeight="1" x14ac:dyDescent="0.25">
      <c r="A46" s="77"/>
      <c r="B46" s="94" t="s">
        <v>95</v>
      </c>
      <c r="C46" s="94"/>
      <c r="D46" s="94"/>
      <c r="E46" s="94"/>
      <c r="F46" s="94"/>
      <c r="G46" s="94"/>
      <c r="H46" s="139">
        <f>+H44-H45</f>
        <v>300</v>
      </c>
      <c r="I46" s="139">
        <f>+I44-I45</f>
        <v>300</v>
      </c>
      <c r="J46" s="77"/>
      <c r="K46" s="77"/>
      <c r="L46" s="77"/>
      <c r="M46" s="77"/>
      <c r="N46" s="77"/>
      <c r="O46" s="77"/>
      <c r="P46" s="77"/>
      <c r="Q46" s="77"/>
      <c r="R46" s="77"/>
      <c r="S46" s="77"/>
      <c r="T46" s="77"/>
      <c r="U46" s="77"/>
      <c r="V46" s="77"/>
      <c r="W46" s="77"/>
      <c r="X46" s="77"/>
      <c r="Y46" s="77"/>
    </row>
    <row r="47" spans="1:25" ht="12.75" customHeight="1" x14ac:dyDescent="0.25">
      <c r="A47" s="77"/>
      <c r="B47" s="77"/>
      <c r="C47" s="77"/>
      <c r="D47" s="77"/>
      <c r="E47" s="77"/>
      <c r="F47" s="77"/>
      <c r="G47" s="77"/>
      <c r="H47" s="77"/>
      <c r="I47" s="77"/>
      <c r="J47" s="77"/>
      <c r="K47" s="77"/>
      <c r="L47" s="77"/>
      <c r="M47" s="77"/>
      <c r="N47" s="77"/>
      <c r="O47" s="77"/>
      <c r="P47" s="77"/>
      <c r="Q47" s="77"/>
      <c r="R47" s="77"/>
      <c r="S47" s="77"/>
      <c r="T47" s="77"/>
      <c r="U47" s="77"/>
      <c r="V47" s="77"/>
      <c r="W47" s="77"/>
      <c r="X47" s="77"/>
      <c r="Y47" s="77"/>
    </row>
    <row r="48" spans="1:25" ht="12.75" customHeight="1" x14ac:dyDescent="0.25">
      <c r="A48" s="77"/>
      <c r="B48" s="232" t="s">
        <v>124</v>
      </c>
      <c r="C48" s="233"/>
      <c r="D48" s="233"/>
      <c r="E48" s="233"/>
      <c r="F48" s="233"/>
      <c r="G48" s="233"/>
      <c r="H48" s="233"/>
      <c r="I48" s="234"/>
      <c r="J48" s="94"/>
      <c r="K48" s="77"/>
      <c r="L48" s="77"/>
      <c r="M48" s="77"/>
      <c r="N48" s="77"/>
      <c r="O48" s="77"/>
      <c r="P48" s="77"/>
      <c r="Q48" s="77"/>
      <c r="R48" s="77"/>
      <c r="S48" s="77"/>
      <c r="T48" s="77"/>
      <c r="U48" s="77"/>
      <c r="V48" s="77"/>
      <c r="W48" s="77"/>
      <c r="X48" s="77"/>
      <c r="Y48" s="77"/>
    </row>
    <row r="49" spans="1:25" ht="12.75" customHeight="1" x14ac:dyDescent="0.25">
      <c r="A49" s="77"/>
      <c r="B49" s="125" t="s">
        <v>42</v>
      </c>
      <c r="C49" s="125"/>
      <c r="D49" s="125"/>
      <c r="E49" s="125"/>
      <c r="F49" s="125"/>
      <c r="G49" s="125"/>
      <c r="H49" s="182">
        <v>400</v>
      </c>
      <c r="I49" s="182">
        <v>600</v>
      </c>
      <c r="J49" s="140"/>
      <c r="K49" s="138" t="s">
        <v>216</v>
      </c>
      <c r="L49" s="77"/>
      <c r="M49" s="77"/>
      <c r="N49" s="77"/>
      <c r="O49" s="77"/>
      <c r="P49" s="77"/>
      <c r="Q49" s="77"/>
      <c r="R49" s="77"/>
      <c r="S49" s="77"/>
      <c r="T49" s="77"/>
      <c r="U49" s="77"/>
      <c r="V49" s="77"/>
      <c r="W49" s="77"/>
      <c r="X49" s="77"/>
      <c r="Y49" s="77"/>
    </row>
    <row r="50" spans="1:25" ht="12.75" customHeight="1" x14ac:dyDescent="0.25">
      <c r="A50" s="77"/>
      <c r="B50" s="125" t="s">
        <v>43</v>
      </c>
      <c r="C50" s="125"/>
      <c r="D50" s="125"/>
      <c r="E50" s="125"/>
      <c r="F50" s="125"/>
      <c r="G50" s="125"/>
      <c r="H50" s="182">
        <v>6000</v>
      </c>
      <c r="I50" s="182">
        <v>10500</v>
      </c>
      <c r="J50" s="140"/>
      <c r="K50" s="77"/>
      <c r="L50" s="77"/>
      <c r="M50" s="77"/>
      <c r="N50" s="77"/>
      <c r="O50" s="77"/>
      <c r="P50" s="77"/>
      <c r="Q50" s="77"/>
      <c r="R50" s="77"/>
      <c r="S50" s="77"/>
      <c r="T50" s="77"/>
      <c r="U50" s="77"/>
      <c r="V50" s="77"/>
      <c r="W50" s="77"/>
      <c r="X50" s="77"/>
      <c r="Y50" s="77"/>
    </row>
    <row r="51" spans="1:25" ht="12.75" customHeight="1" x14ac:dyDescent="0.25">
      <c r="A51" s="77"/>
      <c r="B51" s="94" t="s">
        <v>44</v>
      </c>
      <c r="C51" s="94"/>
      <c r="D51" s="94"/>
      <c r="E51" s="94"/>
      <c r="F51" s="94"/>
      <c r="G51" s="94"/>
      <c r="H51" s="182">
        <v>0</v>
      </c>
      <c r="I51" s="182">
        <v>0</v>
      </c>
      <c r="J51" s="140"/>
      <c r="K51" s="77"/>
      <c r="L51" s="77"/>
      <c r="M51" s="77"/>
      <c r="N51" s="77"/>
      <c r="O51" s="77"/>
      <c r="P51" s="77"/>
      <c r="Q51" s="77"/>
      <c r="R51" s="77"/>
      <c r="S51" s="77"/>
      <c r="T51" s="77"/>
      <c r="U51" s="77"/>
      <c r="V51" s="77"/>
      <c r="W51" s="77"/>
      <c r="X51" s="77"/>
      <c r="Y51" s="77"/>
    </row>
    <row r="52" spans="1:25" ht="12.75" customHeight="1" x14ac:dyDescent="0.25">
      <c r="A52" s="77"/>
      <c r="B52" s="94" t="s">
        <v>46</v>
      </c>
      <c r="C52" s="94"/>
      <c r="D52" s="94"/>
      <c r="E52" s="94"/>
      <c r="F52" s="94"/>
      <c r="G52" s="94"/>
      <c r="H52" s="182">
        <v>500</v>
      </c>
      <c r="I52" s="182">
        <v>800</v>
      </c>
      <c r="J52" s="140"/>
      <c r="K52" s="77"/>
      <c r="L52" s="77"/>
      <c r="M52" s="77"/>
      <c r="N52" s="77"/>
      <c r="O52" s="77"/>
      <c r="P52" s="77"/>
      <c r="Q52" s="77"/>
      <c r="R52" s="77"/>
      <c r="S52" s="77"/>
      <c r="T52" s="77"/>
      <c r="U52" s="77"/>
      <c r="V52" s="77"/>
      <c r="W52" s="77"/>
      <c r="X52" s="77"/>
      <c r="Y52" s="77"/>
    </row>
    <row r="53" spans="1:25" ht="12.75" customHeight="1" x14ac:dyDescent="0.25">
      <c r="A53" s="77"/>
      <c r="B53" s="94" t="s">
        <v>45</v>
      </c>
      <c r="C53" s="94"/>
      <c r="D53" s="94"/>
      <c r="E53" s="94"/>
      <c r="F53" s="94"/>
      <c r="G53" s="94"/>
      <c r="H53" s="182">
        <v>300</v>
      </c>
      <c r="I53" s="182">
        <v>500</v>
      </c>
      <c r="J53" s="140"/>
      <c r="K53" s="77"/>
      <c r="L53" s="77"/>
      <c r="M53" s="77"/>
      <c r="N53" s="77"/>
      <c r="O53" s="77"/>
      <c r="P53" s="77"/>
      <c r="Q53" s="77"/>
      <c r="R53" s="77"/>
      <c r="S53" s="77"/>
      <c r="T53" s="77"/>
      <c r="U53" s="77"/>
      <c r="V53" s="77"/>
      <c r="W53" s="77"/>
      <c r="X53" s="77"/>
      <c r="Y53" s="77"/>
    </row>
    <row r="54" spans="1:25" ht="12.75" customHeight="1" x14ac:dyDescent="0.25">
      <c r="A54" s="77"/>
      <c r="B54" s="94" t="s">
        <v>47</v>
      </c>
      <c r="C54" s="94"/>
      <c r="D54" s="94"/>
      <c r="E54" s="94"/>
      <c r="F54" s="94"/>
      <c r="G54" s="94"/>
      <c r="H54" s="182">
        <v>200</v>
      </c>
      <c r="I54" s="182">
        <v>200</v>
      </c>
      <c r="J54" s="140"/>
      <c r="K54" s="77"/>
      <c r="L54" s="77"/>
      <c r="M54" s="77"/>
      <c r="N54" s="77"/>
      <c r="O54" s="77"/>
      <c r="P54" s="77"/>
      <c r="Q54" s="77"/>
      <c r="R54" s="77"/>
      <c r="S54" s="77"/>
      <c r="T54" s="77"/>
      <c r="U54" s="77"/>
      <c r="V54" s="77"/>
      <c r="W54" s="77"/>
      <c r="X54" s="77"/>
      <c r="Y54" s="77"/>
    </row>
    <row r="55" spans="1:25" ht="12.75" customHeight="1" x14ac:dyDescent="0.25">
      <c r="A55" s="77"/>
      <c r="B55" s="94" t="s">
        <v>22</v>
      </c>
      <c r="C55" s="94"/>
      <c r="D55" s="94"/>
      <c r="E55" s="94"/>
      <c r="F55" s="94"/>
      <c r="G55" s="94"/>
      <c r="H55" s="182">
        <v>35</v>
      </c>
      <c r="I55" s="182">
        <v>75</v>
      </c>
      <c r="J55" s="140"/>
      <c r="K55" s="77"/>
      <c r="L55" s="77"/>
      <c r="M55" s="77"/>
      <c r="N55" s="77"/>
      <c r="O55" s="77"/>
      <c r="P55" s="77"/>
      <c r="Q55" s="77"/>
      <c r="R55" s="77"/>
      <c r="S55" s="77"/>
      <c r="T55" s="77"/>
      <c r="U55" s="77"/>
      <c r="V55" s="77"/>
      <c r="W55" s="77"/>
      <c r="X55" s="77"/>
      <c r="Y55" s="77"/>
    </row>
    <row r="56" spans="1:25" ht="12.75" customHeight="1" x14ac:dyDescent="0.25">
      <c r="A56" s="77"/>
      <c r="B56" s="94" t="s">
        <v>104</v>
      </c>
      <c r="C56" s="141"/>
      <c r="D56" s="141"/>
      <c r="E56" s="141"/>
      <c r="F56" s="141"/>
      <c r="G56" s="141"/>
      <c r="H56" s="182">
        <v>0</v>
      </c>
      <c r="I56" s="182">
        <v>0</v>
      </c>
      <c r="J56" s="140"/>
      <c r="K56" s="77"/>
      <c r="L56" s="77"/>
      <c r="M56" s="77"/>
      <c r="N56" s="77"/>
      <c r="O56" s="77"/>
      <c r="P56" s="77"/>
      <c r="Q56" s="77"/>
      <c r="R56" s="77"/>
      <c r="S56" s="77"/>
      <c r="T56" s="77"/>
      <c r="U56" s="77"/>
      <c r="V56" s="77"/>
      <c r="W56" s="77"/>
      <c r="X56" s="77"/>
      <c r="Y56" s="77"/>
    </row>
    <row r="57" spans="1:25" ht="12.75" customHeight="1" x14ac:dyDescent="0.25">
      <c r="A57" s="77"/>
      <c r="B57" s="94" t="s">
        <v>105</v>
      </c>
      <c r="C57" s="141"/>
      <c r="D57" s="141"/>
      <c r="E57" s="141"/>
      <c r="F57" s="141"/>
      <c r="G57" s="141"/>
      <c r="H57" s="182">
        <v>0</v>
      </c>
      <c r="I57" s="182">
        <v>0</v>
      </c>
      <c r="J57" s="140"/>
      <c r="K57" s="77"/>
      <c r="L57" s="77"/>
      <c r="M57" s="77"/>
      <c r="N57" s="77"/>
      <c r="O57" s="77"/>
      <c r="P57" s="77"/>
      <c r="Q57" s="77"/>
      <c r="R57" s="77"/>
      <c r="S57" s="77"/>
      <c r="T57" s="77"/>
      <c r="U57" s="77"/>
      <c r="V57" s="77"/>
      <c r="W57" s="77"/>
      <c r="X57" s="77"/>
      <c r="Y57" s="77"/>
    </row>
    <row r="58" spans="1:25" ht="12.75" customHeight="1" x14ac:dyDescent="0.25">
      <c r="A58" s="77"/>
      <c r="B58" s="184" t="s">
        <v>108</v>
      </c>
      <c r="C58" s="184"/>
      <c r="D58" s="184"/>
      <c r="E58" s="184"/>
      <c r="F58" s="184"/>
      <c r="G58" s="141"/>
      <c r="H58" s="182">
        <v>0</v>
      </c>
      <c r="I58" s="182">
        <v>0</v>
      </c>
      <c r="J58" s="140"/>
      <c r="K58" s="77"/>
      <c r="L58" s="77"/>
      <c r="M58" s="77"/>
      <c r="N58" s="77"/>
      <c r="O58" s="77"/>
      <c r="P58" s="77"/>
      <c r="Q58" s="77"/>
      <c r="R58" s="77"/>
      <c r="S58" s="77"/>
      <c r="T58" s="77"/>
      <c r="U58" s="77"/>
      <c r="V58" s="77"/>
      <c r="W58" s="77"/>
      <c r="X58" s="77"/>
      <c r="Y58" s="77"/>
    </row>
    <row r="59" spans="1:25" ht="12.75" customHeight="1" x14ac:dyDescent="0.25">
      <c r="A59" s="77"/>
      <c r="B59" s="184" t="s">
        <v>106</v>
      </c>
      <c r="C59" s="184"/>
      <c r="D59" s="184"/>
      <c r="E59" s="184"/>
      <c r="F59" s="184"/>
      <c r="G59" s="141"/>
      <c r="H59" s="182">
        <v>0</v>
      </c>
      <c r="I59" s="182">
        <v>0</v>
      </c>
      <c r="J59" s="140"/>
      <c r="K59" s="77"/>
      <c r="L59" s="77"/>
      <c r="M59" s="77"/>
      <c r="N59" s="77"/>
      <c r="O59" s="77"/>
      <c r="P59" s="77"/>
      <c r="Q59" s="77"/>
      <c r="R59" s="77"/>
      <c r="S59" s="77"/>
      <c r="T59" s="77"/>
      <c r="U59" s="77"/>
      <c r="V59" s="77"/>
      <c r="W59" s="77"/>
      <c r="X59" s="77"/>
      <c r="Y59" s="77"/>
    </row>
    <row r="60" spans="1:25" ht="12.75" customHeight="1" thickBot="1" x14ac:dyDescent="0.3">
      <c r="A60" s="77"/>
      <c r="B60" s="184" t="s">
        <v>107</v>
      </c>
      <c r="C60" s="184"/>
      <c r="D60" s="184"/>
      <c r="E60" s="184"/>
      <c r="F60" s="184"/>
      <c r="G60" s="141"/>
      <c r="H60" s="183">
        <v>0</v>
      </c>
      <c r="I60" s="183">
        <v>0</v>
      </c>
      <c r="J60" s="140"/>
      <c r="K60" s="77"/>
      <c r="L60" s="77"/>
      <c r="M60" s="77"/>
      <c r="N60" s="77"/>
      <c r="O60" s="77"/>
      <c r="P60" s="77"/>
      <c r="Q60" s="77"/>
      <c r="R60" s="77"/>
      <c r="S60" s="77"/>
      <c r="T60" s="77"/>
      <c r="U60" s="77"/>
      <c r="V60" s="77"/>
      <c r="W60" s="77"/>
      <c r="X60" s="77"/>
      <c r="Y60" s="77"/>
    </row>
    <row r="61" spans="1:25" ht="12.75" customHeight="1" thickTop="1" x14ac:dyDescent="0.25">
      <c r="A61" s="77"/>
      <c r="B61" s="77"/>
      <c r="C61" s="77"/>
      <c r="D61" s="77"/>
      <c r="E61" s="77"/>
      <c r="F61" s="94"/>
      <c r="G61" s="142" t="s">
        <v>309</v>
      </c>
      <c r="H61" s="143">
        <f>SUM(H49:H60)</f>
        <v>7435</v>
      </c>
      <c r="I61" s="143">
        <f>SUM(I49:I60)</f>
        <v>12675</v>
      </c>
      <c r="J61" s="94"/>
      <c r="K61" s="77"/>
      <c r="L61" s="77"/>
      <c r="M61" s="77"/>
      <c r="N61" s="77"/>
      <c r="O61" s="77"/>
      <c r="P61" s="77"/>
      <c r="Q61" s="77"/>
      <c r="R61" s="77"/>
      <c r="S61" s="77"/>
      <c r="T61" s="77"/>
      <c r="U61" s="77"/>
      <c r="V61" s="77"/>
      <c r="W61" s="77"/>
      <c r="X61" s="77"/>
      <c r="Y61" s="77"/>
    </row>
    <row r="62" spans="1:25" ht="12.75" customHeight="1" x14ac:dyDescent="0.25">
      <c r="A62" s="77"/>
      <c r="B62" s="94"/>
      <c r="C62" s="94"/>
      <c r="D62" s="94"/>
      <c r="E62" s="94"/>
      <c r="F62" s="94"/>
      <c r="G62" s="94"/>
      <c r="H62" s="144"/>
      <c r="I62" s="144"/>
      <c r="J62" s="77"/>
      <c r="K62" s="77"/>
      <c r="L62" s="77"/>
      <c r="M62" s="77"/>
      <c r="N62" s="77"/>
      <c r="O62" s="77"/>
      <c r="P62" s="77"/>
      <c r="Q62" s="77"/>
      <c r="R62" s="77"/>
      <c r="S62" s="77"/>
      <c r="T62" s="77"/>
      <c r="U62" s="77"/>
      <c r="V62" s="77"/>
      <c r="W62" s="77"/>
      <c r="X62" s="77"/>
      <c r="Y62" s="77"/>
    </row>
    <row r="63" spans="1:25" ht="12.75" customHeight="1" x14ac:dyDescent="0.25">
      <c r="A63" s="77"/>
      <c r="B63" s="94" t="s">
        <v>8</v>
      </c>
      <c r="C63" s="94"/>
      <c r="D63" s="94"/>
      <c r="E63" s="94"/>
      <c r="F63" s="94"/>
      <c r="G63" s="94"/>
      <c r="H63" s="185">
        <v>7.4999999999999997E-2</v>
      </c>
      <c r="I63" s="185">
        <v>7.4999999999999997E-2</v>
      </c>
      <c r="J63" s="77"/>
      <c r="K63" s="77"/>
      <c r="L63" s="77"/>
      <c r="M63" s="77"/>
      <c r="N63" s="77"/>
      <c r="O63" s="77"/>
      <c r="P63" s="77"/>
      <c r="Q63" s="77"/>
      <c r="R63" s="77"/>
      <c r="S63" s="77"/>
      <c r="T63" s="77"/>
      <c r="U63" s="77"/>
      <c r="V63" s="77"/>
      <c r="W63" s="77"/>
      <c r="X63" s="77"/>
      <c r="Y63" s="77"/>
    </row>
    <row r="64" spans="1:25" ht="12.75" customHeight="1" x14ac:dyDescent="0.25">
      <c r="A64" s="77"/>
      <c r="B64" s="94" t="s">
        <v>26</v>
      </c>
      <c r="C64" s="94"/>
      <c r="D64" s="94"/>
      <c r="E64" s="94"/>
      <c r="F64" s="94"/>
      <c r="G64" s="94"/>
      <c r="H64" s="186">
        <v>5</v>
      </c>
      <c r="I64" s="186">
        <v>5</v>
      </c>
      <c r="J64" s="77"/>
      <c r="K64" s="77"/>
      <c r="L64" s="77"/>
      <c r="M64" s="77"/>
      <c r="N64" s="77"/>
      <c r="O64" s="77"/>
      <c r="P64" s="77"/>
      <c r="Q64" s="77"/>
      <c r="R64" s="77"/>
      <c r="S64" s="77"/>
      <c r="T64" s="77"/>
      <c r="U64" s="77"/>
      <c r="V64" s="77"/>
      <c r="W64" s="77"/>
      <c r="X64" s="77"/>
      <c r="Y64" s="77"/>
    </row>
    <row r="65" spans="1:25" ht="12.75" customHeight="1" x14ac:dyDescent="0.25">
      <c r="A65" s="77"/>
      <c r="B65" s="94" t="s">
        <v>96</v>
      </c>
      <c r="C65" s="94"/>
      <c r="D65" s="94"/>
      <c r="E65" s="94"/>
      <c r="F65" s="94"/>
      <c r="G65" s="94"/>
      <c r="H65" s="145">
        <f>-PPMT(H63,1,H64,H61)</f>
        <v>1280.0446767442656</v>
      </c>
      <c r="I65" s="145">
        <f>-PPMT(I63,1,I64,I61)</f>
        <v>2182.1877979466799</v>
      </c>
      <c r="J65" s="77"/>
      <c r="K65" s="77"/>
      <c r="L65" s="77"/>
      <c r="M65" s="77"/>
      <c r="N65" s="77"/>
      <c r="O65" s="77"/>
      <c r="P65" s="77"/>
      <c r="Q65" s="77"/>
      <c r="R65" s="77"/>
      <c r="S65" s="77"/>
      <c r="T65" s="77"/>
      <c r="U65" s="77"/>
      <c r="V65" s="77"/>
      <c r="W65" s="77"/>
      <c r="X65" s="77"/>
      <c r="Y65" s="77"/>
    </row>
    <row r="66" spans="1:25" ht="12.75" customHeight="1" thickBot="1" x14ac:dyDescent="0.3">
      <c r="A66" s="77"/>
      <c r="B66" s="119" t="s">
        <v>97</v>
      </c>
      <c r="C66" s="119"/>
      <c r="D66" s="119"/>
      <c r="E66" s="119"/>
      <c r="F66" s="119"/>
      <c r="G66" s="119"/>
      <c r="H66" s="146">
        <f>-IPMT($H$63,1,$H$64,$H$61)</f>
        <v>557.625</v>
      </c>
      <c r="I66" s="146">
        <f>-IPMT(I63,1,I64,I61)</f>
        <v>950.625</v>
      </c>
      <c r="J66" s="77"/>
      <c r="K66" s="77"/>
      <c r="L66" s="77"/>
      <c r="M66" s="77"/>
      <c r="N66" s="77"/>
      <c r="O66" s="77"/>
      <c r="P66" s="77"/>
      <c r="Q66" s="77"/>
      <c r="R66" s="77"/>
      <c r="S66" s="77"/>
      <c r="T66" s="77"/>
      <c r="U66" s="77"/>
      <c r="V66" s="77"/>
      <c r="W66" s="77"/>
      <c r="X66" s="77"/>
      <c r="Y66" s="77"/>
    </row>
    <row r="67" spans="1:25" ht="12.75" customHeight="1" thickTop="1" x14ac:dyDescent="0.25">
      <c r="A67" s="77"/>
      <c r="B67" s="77"/>
      <c r="C67" s="77"/>
      <c r="D67" s="77"/>
      <c r="E67" s="77"/>
      <c r="F67" s="94"/>
      <c r="G67" s="142" t="s">
        <v>103</v>
      </c>
      <c r="H67" s="143">
        <f>PMT(H63,H64,-H61,0)</f>
        <v>1837.6696767442656</v>
      </c>
      <c r="I67" s="143">
        <f>PMT(I63,I64,-I61,0)</f>
        <v>3132.8127979466799</v>
      </c>
      <c r="J67" s="77"/>
      <c r="K67" s="77"/>
      <c r="L67" s="77"/>
      <c r="M67" s="77"/>
      <c r="N67" s="77"/>
      <c r="O67" s="77"/>
      <c r="P67" s="77"/>
      <c r="Q67" s="77"/>
      <c r="R67" s="77"/>
      <c r="S67" s="77"/>
      <c r="T67" s="77"/>
      <c r="U67" s="77"/>
      <c r="V67" s="77"/>
      <c r="W67" s="77"/>
      <c r="X67" s="77"/>
      <c r="Y67" s="77"/>
    </row>
    <row r="68" spans="1:25" ht="12.75" customHeight="1" x14ac:dyDescent="0.25">
      <c r="A68" s="77"/>
      <c r="B68" s="94"/>
      <c r="C68" s="94"/>
      <c r="D68" s="94"/>
      <c r="E68" s="94"/>
      <c r="F68" s="94"/>
      <c r="G68" s="94"/>
      <c r="H68" s="147"/>
      <c r="I68" s="147"/>
      <c r="J68" s="77"/>
      <c r="K68" s="77"/>
      <c r="L68" s="77"/>
      <c r="M68" s="77"/>
      <c r="N68" s="77"/>
      <c r="O68" s="77"/>
      <c r="P68" s="77"/>
      <c r="Q68" s="77"/>
      <c r="R68" s="77"/>
      <c r="S68" s="77"/>
      <c r="T68" s="77"/>
      <c r="U68" s="77"/>
      <c r="V68" s="77"/>
      <c r="W68" s="77"/>
      <c r="X68" s="77"/>
      <c r="Y68" s="77"/>
    </row>
    <row r="69" spans="1:25" ht="12.75" customHeight="1" x14ac:dyDescent="0.25">
      <c r="A69" s="77"/>
      <c r="B69" s="119" t="s">
        <v>148</v>
      </c>
      <c r="C69" s="119"/>
      <c r="D69" s="119"/>
      <c r="E69" s="119"/>
      <c r="F69" s="77"/>
      <c r="G69" s="77"/>
      <c r="H69" s="148">
        <f>+H61/7</f>
        <v>1062.1428571428571</v>
      </c>
      <c r="I69" s="148">
        <f>+I61/7</f>
        <v>1810.7142857142858</v>
      </c>
      <c r="J69" s="77"/>
      <c r="K69" s="77"/>
      <c r="L69" s="77"/>
      <c r="M69" s="77"/>
      <c r="N69" s="77"/>
      <c r="O69" s="77"/>
      <c r="P69" s="77"/>
      <c r="Q69" s="77"/>
      <c r="R69" s="77"/>
      <c r="S69" s="77"/>
      <c r="T69" s="77"/>
      <c r="U69" s="77"/>
      <c r="V69" s="77"/>
      <c r="W69" s="77"/>
      <c r="X69" s="77"/>
      <c r="Y69" s="77"/>
    </row>
    <row r="70" spans="1:25" ht="12.75" customHeight="1" x14ac:dyDescent="0.25">
      <c r="A70" s="77"/>
      <c r="B70" s="119"/>
      <c r="C70" s="119"/>
      <c r="D70" s="119"/>
      <c r="E70" s="119"/>
      <c r="F70" s="77"/>
      <c r="G70" s="77"/>
      <c r="H70" s="148"/>
      <c r="I70" s="148"/>
      <c r="J70" s="77"/>
      <c r="K70" s="77"/>
      <c r="L70" s="77"/>
      <c r="M70" s="77"/>
      <c r="N70" s="77"/>
      <c r="O70" s="77"/>
      <c r="P70" s="77"/>
      <c r="Q70" s="77"/>
      <c r="R70" s="77"/>
      <c r="S70" s="77"/>
      <c r="T70" s="77"/>
      <c r="U70" s="77"/>
      <c r="V70" s="77"/>
      <c r="W70" s="77"/>
      <c r="X70" s="77"/>
      <c r="Y70" s="77"/>
    </row>
    <row r="71" spans="1:25" ht="12.75" customHeight="1" x14ac:dyDescent="0.25">
      <c r="A71" s="77"/>
      <c r="B71" s="119" t="s">
        <v>113</v>
      </c>
      <c r="C71" s="119"/>
      <c r="D71" s="119"/>
      <c r="E71" s="119"/>
      <c r="F71" s="94"/>
      <c r="G71" s="94"/>
      <c r="H71" s="182">
        <v>0</v>
      </c>
      <c r="I71" s="182">
        <v>0</v>
      </c>
      <c r="J71" s="77"/>
      <c r="K71" s="77"/>
      <c r="L71" s="77"/>
      <c r="M71" s="77"/>
      <c r="N71" s="77"/>
      <c r="O71" s="77"/>
      <c r="P71" s="77"/>
      <c r="Q71" s="77"/>
      <c r="R71" s="77"/>
      <c r="S71" s="77"/>
      <c r="T71" s="77"/>
      <c r="U71" s="77"/>
      <c r="V71" s="77"/>
      <c r="W71" s="77"/>
      <c r="X71" s="77"/>
      <c r="Y71" s="77"/>
    </row>
    <row r="72" spans="1:25" ht="12.75" customHeight="1" thickBot="1" x14ac:dyDescent="0.3">
      <c r="A72" s="77"/>
      <c r="B72" s="149" t="s">
        <v>114</v>
      </c>
      <c r="C72" s="149"/>
      <c r="D72" s="149"/>
      <c r="E72" s="149"/>
      <c r="F72" s="150"/>
      <c r="G72" s="151"/>
      <c r="H72" s="182">
        <v>0</v>
      </c>
      <c r="I72" s="182">
        <v>0</v>
      </c>
      <c r="J72" s="77"/>
      <c r="K72" s="77"/>
      <c r="L72" s="77"/>
      <c r="M72" s="77"/>
      <c r="N72" s="77"/>
      <c r="O72" s="77"/>
      <c r="P72" s="77"/>
      <c r="Q72" s="77"/>
      <c r="R72" s="77"/>
      <c r="S72" s="77"/>
      <c r="T72" s="77"/>
      <c r="U72" s="77"/>
      <c r="V72" s="77"/>
      <c r="W72" s="77"/>
      <c r="X72" s="77"/>
      <c r="Y72" s="77"/>
    </row>
    <row r="73" spans="1:25" ht="12.75" customHeight="1" thickTop="1" x14ac:dyDescent="0.25">
      <c r="A73" s="77"/>
      <c r="B73" s="119" t="s">
        <v>305</v>
      </c>
      <c r="C73" s="119"/>
      <c r="D73" s="119"/>
      <c r="E73" s="119"/>
      <c r="F73" s="94"/>
      <c r="G73" s="94"/>
      <c r="H73" s="143">
        <f>+H71+H72</f>
        <v>0</v>
      </c>
      <c r="I73" s="143">
        <f>+I71+I72</f>
        <v>0</v>
      </c>
      <c r="J73" s="77"/>
      <c r="K73" s="77"/>
      <c r="L73" s="77"/>
      <c r="M73" s="77"/>
      <c r="N73" s="77"/>
      <c r="O73" s="77"/>
      <c r="P73" s="77"/>
      <c r="Q73" s="77"/>
      <c r="R73" s="77"/>
      <c r="S73" s="77"/>
      <c r="T73" s="77"/>
      <c r="U73" s="77"/>
      <c r="V73" s="77"/>
      <c r="W73" s="77"/>
      <c r="X73" s="77"/>
      <c r="Y73" s="77"/>
    </row>
    <row r="74" spans="1:25" ht="12.75" customHeight="1" x14ac:dyDescent="0.25">
      <c r="A74" s="77"/>
      <c r="B74" s="119"/>
      <c r="C74" s="119"/>
      <c r="D74" s="119"/>
      <c r="E74" s="119"/>
      <c r="F74" s="94"/>
      <c r="G74" s="94"/>
      <c r="H74" s="152"/>
      <c r="I74" s="152"/>
      <c r="J74" s="77"/>
      <c r="K74" s="77"/>
      <c r="L74" s="77"/>
      <c r="M74" s="77"/>
      <c r="N74" s="77"/>
      <c r="O74" s="77"/>
      <c r="P74" s="77"/>
      <c r="Q74" s="77"/>
      <c r="R74" s="77"/>
      <c r="S74" s="77"/>
      <c r="T74" s="77"/>
      <c r="U74" s="77"/>
      <c r="V74" s="77"/>
      <c r="W74" s="77"/>
      <c r="X74" s="77"/>
      <c r="Y74" s="77"/>
    </row>
    <row r="75" spans="1:25" x14ac:dyDescent="0.25">
      <c r="A75" s="77"/>
      <c r="B75" s="235" t="s">
        <v>149</v>
      </c>
      <c r="C75" s="235"/>
      <c r="D75" s="235"/>
      <c r="E75" s="235"/>
      <c r="F75" s="235"/>
      <c r="G75" s="235"/>
      <c r="H75" s="236"/>
      <c r="I75" s="236"/>
      <c r="J75" s="77"/>
      <c r="K75" s="77"/>
      <c r="L75" s="77"/>
      <c r="M75" s="77"/>
      <c r="N75" s="77"/>
      <c r="O75" s="77"/>
      <c r="P75" s="77"/>
      <c r="Q75" s="77"/>
      <c r="R75" s="77"/>
      <c r="S75" s="77"/>
      <c r="T75" s="77"/>
      <c r="U75" s="77"/>
      <c r="V75" s="77"/>
      <c r="W75" s="77"/>
      <c r="X75" s="77"/>
      <c r="Y75" s="77"/>
    </row>
    <row r="76" spans="1:25" ht="12.75" customHeight="1" x14ac:dyDescent="0.25">
      <c r="A76" s="79" t="s">
        <v>84</v>
      </c>
      <c r="B76" s="94" t="s">
        <v>206</v>
      </c>
      <c r="C76" s="94"/>
      <c r="D76" s="94"/>
      <c r="E76" s="94"/>
      <c r="F76" s="94"/>
      <c r="G76" s="94"/>
      <c r="H76" s="181">
        <v>8</v>
      </c>
      <c r="I76" s="154">
        <f>H76</f>
        <v>8</v>
      </c>
      <c r="J76" s="77"/>
      <c r="K76" s="77"/>
      <c r="L76" s="77"/>
      <c r="M76" s="77"/>
      <c r="N76" s="77"/>
      <c r="O76" s="77"/>
      <c r="P76" s="77"/>
      <c r="Q76" s="77"/>
      <c r="R76" s="77"/>
      <c r="S76" s="77"/>
      <c r="T76" s="77"/>
      <c r="U76" s="77"/>
      <c r="V76" s="77"/>
      <c r="W76" s="77"/>
      <c r="X76" s="77"/>
      <c r="Y76" s="77"/>
    </row>
    <row r="77" spans="1:25" ht="12.75" customHeight="1" x14ac:dyDescent="0.25">
      <c r="A77" s="131"/>
      <c r="B77" s="94" t="s">
        <v>271</v>
      </c>
      <c r="C77" s="94"/>
      <c r="D77" s="94"/>
      <c r="E77" s="94"/>
      <c r="F77" s="94"/>
      <c r="G77" s="94"/>
      <c r="H77" s="185">
        <v>0</v>
      </c>
      <c r="I77" s="185">
        <v>0</v>
      </c>
      <c r="J77" s="77"/>
      <c r="K77" s="77"/>
      <c r="L77" s="77"/>
      <c r="M77" s="77"/>
      <c r="N77" s="77"/>
      <c r="O77" s="77"/>
      <c r="P77" s="77"/>
      <c r="Q77" s="77"/>
      <c r="R77" s="77"/>
      <c r="S77" s="77"/>
      <c r="T77" s="77"/>
      <c r="U77" s="77"/>
      <c r="V77" s="77"/>
      <c r="W77" s="77"/>
      <c r="X77" s="77"/>
      <c r="Y77" s="77"/>
    </row>
    <row r="78" spans="1:25" ht="12.75" customHeight="1" x14ac:dyDescent="0.25">
      <c r="A78" s="77"/>
      <c r="B78" s="94" t="s">
        <v>122</v>
      </c>
      <c r="C78" s="94"/>
      <c r="D78" s="94"/>
      <c r="E78" s="94"/>
      <c r="F78" s="94"/>
      <c r="G78" s="94"/>
      <c r="H78" s="147">
        <f>H76*H29</f>
        <v>38.400000000000006</v>
      </c>
      <c r="I78" s="147">
        <f>I76*I29</f>
        <v>19.200000000000003</v>
      </c>
      <c r="J78" s="77"/>
      <c r="K78" s="77"/>
      <c r="L78" s="77"/>
      <c r="M78" s="77"/>
      <c r="N78" s="77"/>
      <c r="O78" s="77"/>
      <c r="P78" s="77"/>
      <c r="Q78" s="77"/>
      <c r="R78" s="77"/>
      <c r="S78" s="77"/>
      <c r="T78" s="77"/>
      <c r="U78" s="77"/>
      <c r="V78" s="77"/>
      <c r="W78" s="77"/>
      <c r="X78" s="77"/>
      <c r="Y78" s="77"/>
    </row>
    <row r="79" spans="1:25" ht="12.75" customHeight="1" x14ac:dyDescent="0.25">
      <c r="A79" s="77"/>
      <c r="B79" s="94"/>
      <c r="C79" s="94"/>
      <c r="D79" s="94"/>
      <c r="E79" s="94"/>
      <c r="F79" s="94"/>
      <c r="G79" s="142" t="s">
        <v>252</v>
      </c>
      <c r="H79" s="155">
        <f>I19/(H25/24)*H76</f>
        <v>3552</v>
      </c>
      <c r="I79" s="155">
        <f>IF(I25=0,0,I19/(I25/24)*I76)</f>
        <v>1776</v>
      </c>
      <c r="J79" s="77"/>
      <c r="K79" s="77"/>
      <c r="L79" s="77"/>
      <c r="M79" s="77"/>
      <c r="N79" s="77"/>
      <c r="O79" s="77"/>
      <c r="P79" s="77"/>
      <c r="Q79" s="77"/>
      <c r="R79" s="77"/>
      <c r="S79" s="77"/>
      <c r="T79" s="77"/>
      <c r="U79" s="77"/>
      <c r="V79" s="77"/>
      <c r="W79" s="77"/>
      <c r="X79" s="77"/>
      <c r="Y79" s="77"/>
    </row>
    <row r="80" spans="1:25" ht="12.75" customHeight="1" x14ac:dyDescent="0.25">
      <c r="A80" s="77"/>
      <c r="B80" s="94"/>
      <c r="C80" s="94"/>
      <c r="D80" s="94"/>
      <c r="E80" s="94"/>
      <c r="F80" s="94"/>
      <c r="G80" s="142"/>
      <c r="H80" s="126"/>
      <c r="I80" s="126"/>
      <c r="J80" s="77"/>
      <c r="K80" s="77"/>
      <c r="L80" s="77"/>
      <c r="M80" s="77"/>
      <c r="N80" s="77"/>
      <c r="O80" s="77"/>
      <c r="P80" s="77"/>
      <c r="Q80" s="77"/>
      <c r="R80" s="77"/>
      <c r="S80" s="77"/>
      <c r="T80" s="77"/>
      <c r="U80" s="77"/>
      <c r="V80" s="77"/>
      <c r="W80" s="77"/>
      <c r="X80" s="77"/>
      <c r="Y80" s="77"/>
    </row>
    <row r="81" spans="1:25" ht="12.75" customHeight="1" x14ac:dyDescent="0.25">
      <c r="A81" s="77"/>
      <c r="B81" s="125" t="s">
        <v>128</v>
      </c>
      <c r="C81" s="125"/>
      <c r="D81" s="125"/>
      <c r="E81" s="125"/>
      <c r="F81" s="141"/>
      <c r="G81" s="141"/>
      <c r="H81" s="156">
        <f>R20</f>
        <v>35500</v>
      </c>
      <c r="I81" s="156">
        <f>H81</f>
        <v>35500</v>
      </c>
      <c r="J81" s="77"/>
      <c r="K81" s="77"/>
      <c r="L81" s="77"/>
      <c r="M81" s="77"/>
      <c r="N81" s="77"/>
      <c r="O81" s="77"/>
      <c r="P81" s="77"/>
      <c r="Q81" s="77"/>
      <c r="R81" s="77"/>
      <c r="S81" s="77"/>
      <c r="T81" s="77"/>
      <c r="U81" s="77"/>
      <c r="V81" s="77"/>
      <c r="W81" s="77"/>
      <c r="X81" s="77"/>
      <c r="Y81" s="77"/>
    </row>
    <row r="82" spans="1:25" ht="12.75" customHeight="1" x14ac:dyDescent="0.25">
      <c r="A82" s="77"/>
      <c r="B82" s="94"/>
      <c r="C82" s="94"/>
      <c r="D82" s="94"/>
      <c r="E82" s="94"/>
      <c r="F82" s="94"/>
      <c r="G82" s="142"/>
      <c r="H82" s="126"/>
      <c r="I82" s="126"/>
      <c r="J82" s="77"/>
      <c r="K82" s="77"/>
      <c r="L82" s="77"/>
      <c r="M82" s="77"/>
      <c r="N82" s="77"/>
      <c r="O82" s="77"/>
      <c r="P82" s="77"/>
      <c r="Q82" s="77"/>
      <c r="R82" s="77"/>
      <c r="S82" s="77"/>
      <c r="T82" s="77"/>
      <c r="U82" s="77"/>
      <c r="V82" s="77"/>
      <c r="W82" s="77"/>
      <c r="X82" s="77"/>
      <c r="Y82" s="77"/>
    </row>
    <row r="83" spans="1:25" ht="12.75" customHeight="1" x14ac:dyDescent="0.25">
      <c r="A83" s="77"/>
      <c r="B83" s="121" t="s">
        <v>165</v>
      </c>
      <c r="C83" s="121"/>
      <c r="D83" s="121"/>
      <c r="E83" s="121"/>
      <c r="F83" s="150"/>
      <c r="G83" s="157"/>
      <c r="H83" s="126"/>
      <c r="I83" s="126"/>
      <c r="J83" s="77"/>
      <c r="K83" s="77"/>
      <c r="L83" s="77"/>
      <c r="M83" s="77"/>
      <c r="N83" s="77"/>
      <c r="O83" s="77"/>
      <c r="P83" s="77"/>
      <c r="Q83" s="77"/>
      <c r="R83" s="77"/>
      <c r="S83" s="77"/>
      <c r="T83" s="77"/>
      <c r="U83" s="77"/>
      <c r="V83" s="77"/>
      <c r="W83" s="77"/>
      <c r="X83" s="77"/>
      <c r="Y83" s="77"/>
    </row>
    <row r="84" spans="1:25" ht="12.75" customHeight="1" x14ac:dyDescent="0.25">
      <c r="A84" s="77"/>
      <c r="B84" s="94" t="s">
        <v>170</v>
      </c>
      <c r="C84" s="158"/>
      <c r="D84" s="158"/>
      <c r="E84" s="158"/>
      <c r="F84" s="142"/>
      <c r="G84" s="142"/>
      <c r="H84" s="187">
        <v>7</v>
      </c>
      <c r="I84" s="187">
        <v>17.5</v>
      </c>
      <c r="J84" s="77"/>
      <c r="K84" s="77"/>
      <c r="L84" s="77"/>
      <c r="M84" s="77"/>
      <c r="N84" s="77"/>
      <c r="O84" s="77"/>
      <c r="P84" s="77"/>
      <c r="Q84" s="77"/>
      <c r="R84" s="77"/>
      <c r="S84" s="77"/>
      <c r="T84" s="77"/>
      <c r="U84" s="77"/>
      <c r="V84" s="77"/>
      <c r="W84" s="77"/>
      <c r="X84" s="77"/>
      <c r="Y84" s="77"/>
    </row>
    <row r="85" spans="1:25" ht="12.75" customHeight="1" x14ac:dyDescent="0.25">
      <c r="A85" s="79" t="s">
        <v>84</v>
      </c>
      <c r="B85" s="119" t="s">
        <v>178</v>
      </c>
      <c r="C85" s="158"/>
      <c r="D85" s="158"/>
      <c r="E85" s="158"/>
      <c r="F85" s="142"/>
      <c r="G85" s="142"/>
      <c r="H85" s="188">
        <v>0.77</v>
      </c>
      <c r="I85" s="188">
        <v>0.81</v>
      </c>
      <c r="J85" s="77"/>
      <c r="K85" s="77"/>
      <c r="L85" s="77"/>
      <c r="M85" s="77"/>
      <c r="N85" s="77"/>
      <c r="O85" s="77"/>
      <c r="P85" s="77"/>
      <c r="Q85" s="77"/>
      <c r="R85" s="77"/>
      <c r="S85" s="77"/>
      <c r="T85" s="77"/>
      <c r="U85" s="77"/>
      <c r="V85" s="77"/>
      <c r="W85" s="77"/>
      <c r="X85" s="77"/>
      <c r="Y85" s="77"/>
    </row>
    <row r="86" spans="1:25" ht="12.75" customHeight="1" x14ac:dyDescent="0.25">
      <c r="A86" s="79" t="s">
        <v>84</v>
      </c>
      <c r="B86" s="94" t="s">
        <v>177</v>
      </c>
      <c r="C86" s="94"/>
      <c r="D86" s="94"/>
      <c r="E86" s="94"/>
      <c r="F86" s="159" t="s">
        <v>131</v>
      </c>
      <c r="G86" s="94"/>
      <c r="H86" s="77"/>
      <c r="I86" s="77"/>
      <c r="J86" s="77"/>
      <c r="K86" s="77"/>
      <c r="L86" s="77"/>
      <c r="M86" s="77"/>
      <c r="N86" s="77"/>
      <c r="O86" s="77"/>
      <c r="P86" s="77"/>
      <c r="Q86" s="77"/>
      <c r="R86" s="77"/>
      <c r="S86" s="77"/>
      <c r="T86" s="77"/>
      <c r="U86" s="77"/>
      <c r="V86" s="77"/>
      <c r="W86" s="77"/>
      <c r="X86" s="77"/>
      <c r="Y86" s="77"/>
    </row>
    <row r="87" spans="1:25" ht="12.75" customHeight="1" x14ac:dyDescent="0.25">
      <c r="A87" s="131"/>
      <c r="B87" s="94"/>
      <c r="C87" s="94"/>
      <c r="D87" s="94"/>
      <c r="E87" s="94"/>
      <c r="F87" s="189">
        <v>7.5700000000000003E-2</v>
      </c>
      <c r="G87" s="94"/>
      <c r="H87" s="148">
        <f>(H84*0.746*($I$19/H25*24))/IF(H85="",(0.7+(H84/100)),IF(H85=0,(0.7+(H84/100)),H85))*$F$87</f>
        <v>227.94233454545451</v>
      </c>
      <c r="I87" s="148">
        <f>IF(I25=0,0,(I84*0.746*($I$19/I25*24))/IF(I85="",(0.7+(I84/100)),IF(I85=0,(0.7+(I84/100)),I85))*$F$87)</f>
        <v>270.85740370370371</v>
      </c>
      <c r="J87" s="77"/>
      <c r="K87" s="77"/>
      <c r="L87" s="77"/>
      <c r="M87" s="77"/>
      <c r="N87" s="77"/>
      <c r="O87" s="77"/>
      <c r="P87" s="77"/>
      <c r="Q87" s="77"/>
      <c r="R87" s="77"/>
      <c r="S87" s="77"/>
      <c r="T87" s="77"/>
      <c r="U87" s="77"/>
      <c r="V87" s="77"/>
      <c r="W87" s="77"/>
      <c r="X87" s="77"/>
      <c r="Y87" s="77"/>
    </row>
    <row r="88" spans="1:25" ht="12.75" customHeight="1" x14ac:dyDescent="0.25">
      <c r="A88" s="77"/>
      <c r="B88" s="94"/>
      <c r="C88" s="94"/>
      <c r="D88" s="94"/>
      <c r="E88" s="94"/>
      <c r="F88" s="94"/>
      <c r="G88" s="142"/>
      <c r="H88" s="126"/>
      <c r="I88" s="126"/>
      <c r="J88" s="77"/>
      <c r="K88" s="77"/>
      <c r="L88" s="77"/>
      <c r="M88" s="77"/>
      <c r="N88" s="77"/>
      <c r="O88" s="77"/>
      <c r="P88" s="77"/>
      <c r="Q88" s="77"/>
      <c r="R88" s="77"/>
      <c r="S88" s="77"/>
      <c r="T88" s="77"/>
      <c r="U88" s="77"/>
      <c r="V88" s="77"/>
      <c r="W88" s="77"/>
      <c r="X88" s="77"/>
      <c r="Y88" s="77"/>
    </row>
    <row r="89" spans="1:25" ht="12.75" customHeight="1" x14ac:dyDescent="0.25">
      <c r="A89" s="79" t="s">
        <v>84</v>
      </c>
      <c r="B89" s="160" t="s">
        <v>208</v>
      </c>
      <c r="C89" s="94"/>
      <c r="D89" s="94"/>
      <c r="E89" s="94"/>
      <c r="F89" s="94"/>
      <c r="G89" s="94"/>
      <c r="H89" s="126"/>
      <c r="I89" s="126"/>
      <c r="J89" s="77"/>
      <c r="K89" s="77"/>
      <c r="L89" s="77"/>
      <c r="M89" s="77"/>
      <c r="N89" s="77"/>
      <c r="O89" s="77"/>
      <c r="P89" s="77"/>
      <c r="Q89" s="77"/>
      <c r="R89" s="77"/>
      <c r="S89" s="77"/>
      <c r="T89" s="77"/>
      <c r="U89" s="77"/>
      <c r="V89" s="77"/>
      <c r="W89" s="77"/>
      <c r="X89" s="77"/>
      <c r="Y89" s="77"/>
    </row>
    <row r="90" spans="1:25" ht="12.75" customHeight="1" x14ac:dyDescent="0.25">
      <c r="A90" s="77"/>
      <c r="B90" s="184" t="s">
        <v>167</v>
      </c>
      <c r="C90" s="184"/>
      <c r="D90" s="184"/>
      <c r="E90" s="184"/>
      <c r="F90" s="190"/>
      <c r="G90" s="94"/>
      <c r="H90" s="182">
        <v>100</v>
      </c>
      <c r="I90" s="182">
        <v>150</v>
      </c>
      <c r="J90" s="77"/>
      <c r="K90" s="77"/>
      <c r="L90" s="77"/>
      <c r="M90" s="77"/>
      <c r="N90" s="77"/>
      <c r="O90" s="77"/>
      <c r="P90" s="77"/>
      <c r="Q90" s="77"/>
      <c r="R90" s="77"/>
      <c r="S90" s="77"/>
      <c r="T90" s="77"/>
      <c r="U90" s="77"/>
      <c r="V90" s="77"/>
      <c r="W90" s="77"/>
      <c r="X90" s="77"/>
      <c r="Y90" s="77"/>
    </row>
    <row r="91" spans="1:25" ht="12.75" customHeight="1" x14ac:dyDescent="0.25">
      <c r="A91" s="77"/>
      <c r="B91" s="184" t="s">
        <v>166</v>
      </c>
      <c r="C91" s="184"/>
      <c r="D91" s="184"/>
      <c r="E91" s="184"/>
      <c r="F91" s="190"/>
      <c r="G91" s="94"/>
      <c r="H91" s="182">
        <v>0</v>
      </c>
      <c r="I91" s="182">
        <v>0</v>
      </c>
      <c r="J91" s="77"/>
      <c r="K91" s="77"/>
      <c r="L91" s="77"/>
      <c r="M91" s="77"/>
      <c r="N91" s="77"/>
      <c r="O91" s="77"/>
      <c r="P91" s="77"/>
      <c r="Q91" s="77"/>
      <c r="R91" s="77"/>
      <c r="S91" s="77"/>
      <c r="T91" s="77"/>
      <c r="U91" s="77"/>
      <c r="V91" s="77"/>
      <c r="W91" s="77"/>
      <c r="X91" s="77"/>
      <c r="Y91" s="77"/>
    </row>
    <row r="92" spans="1:25" ht="12.75" customHeight="1" x14ac:dyDescent="0.25">
      <c r="A92" s="77"/>
      <c r="B92" s="184" t="s">
        <v>168</v>
      </c>
      <c r="C92" s="191"/>
      <c r="D92" s="191"/>
      <c r="E92" s="191"/>
      <c r="F92" s="191"/>
      <c r="G92" s="161"/>
      <c r="H92" s="182">
        <v>0</v>
      </c>
      <c r="I92" s="182">
        <v>0</v>
      </c>
      <c r="J92" s="77"/>
      <c r="K92" s="77"/>
      <c r="L92" s="77"/>
      <c r="M92" s="77"/>
      <c r="N92" s="77"/>
      <c r="O92" s="77"/>
      <c r="P92" s="77"/>
      <c r="Q92" s="77"/>
      <c r="R92" s="77"/>
      <c r="S92" s="77"/>
      <c r="T92" s="77"/>
      <c r="U92" s="77"/>
      <c r="V92" s="77"/>
      <c r="W92" s="77"/>
      <c r="X92" s="77"/>
      <c r="Y92" s="77"/>
    </row>
    <row r="93" spans="1:25" ht="12.75" customHeight="1" x14ac:dyDescent="0.25">
      <c r="A93" s="77"/>
      <c r="B93" s="141"/>
      <c r="C93" s="141"/>
      <c r="D93" s="141"/>
      <c r="E93" s="141"/>
      <c r="F93" s="141"/>
      <c r="G93" s="162" t="s">
        <v>179</v>
      </c>
      <c r="H93" s="163">
        <f>SUM(H87:H92)</f>
        <v>327.94233454545451</v>
      </c>
      <c r="I93" s="163">
        <f>SUM(I87:I92)</f>
        <v>420.85740370370371</v>
      </c>
      <c r="J93" s="77"/>
      <c r="K93" s="77"/>
      <c r="L93" s="77"/>
      <c r="M93" s="77"/>
      <c r="N93" s="77"/>
      <c r="O93" s="77"/>
      <c r="P93" s="77"/>
      <c r="Q93" s="77"/>
      <c r="R93" s="77"/>
      <c r="S93" s="77"/>
      <c r="T93" s="77"/>
      <c r="U93" s="77"/>
      <c r="V93" s="77"/>
      <c r="W93" s="77"/>
      <c r="X93" s="77"/>
      <c r="Y93" s="77"/>
    </row>
    <row r="94" spans="1:25" ht="12.75" customHeight="1" x14ac:dyDescent="0.25">
      <c r="A94" s="77"/>
      <c r="B94" s="141"/>
      <c r="C94" s="141"/>
      <c r="D94" s="141"/>
      <c r="E94" s="141"/>
      <c r="F94" s="141"/>
      <c r="G94" s="77"/>
      <c r="H94" s="155"/>
      <c r="I94" s="155"/>
      <c r="J94" s="77"/>
      <c r="K94" s="77"/>
      <c r="L94" s="77"/>
      <c r="M94" s="77"/>
      <c r="N94" s="77"/>
      <c r="O94" s="77"/>
      <c r="P94" s="77"/>
      <c r="Q94" s="77"/>
      <c r="R94" s="77"/>
      <c r="S94" s="77"/>
      <c r="T94" s="77"/>
      <c r="U94" s="77"/>
      <c r="V94" s="77"/>
      <c r="W94" s="77"/>
      <c r="X94" s="77"/>
      <c r="Y94" s="77"/>
    </row>
    <row r="95" spans="1:25" ht="12.75" customHeight="1" x14ac:dyDescent="0.25">
      <c r="A95" s="77"/>
      <c r="B95" s="153" t="s">
        <v>121</v>
      </c>
      <c r="C95" s="130"/>
      <c r="D95" s="130"/>
      <c r="E95" s="130"/>
      <c r="F95" s="77"/>
      <c r="G95" s="77"/>
      <c r="H95" s="155">
        <f>H79+H81+H93</f>
        <v>39379.942334545456</v>
      </c>
      <c r="I95" s="155">
        <f>I79+I81+I93</f>
        <v>37696.857403703703</v>
      </c>
      <c r="J95" s="77"/>
      <c r="K95" s="155"/>
      <c r="L95" s="155"/>
      <c r="M95" s="77"/>
      <c r="N95" s="77"/>
      <c r="O95" s="77"/>
      <c r="P95" s="77"/>
      <c r="Q95" s="77"/>
      <c r="R95" s="77"/>
      <c r="S95" s="77"/>
      <c r="T95" s="77"/>
      <c r="U95" s="77"/>
      <c r="V95" s="77"/>
      <c r="W95" s="77"/>
      <c r="X95" s="77"/>
      <c r="Y95" s="77"/>
    </row>
    <row r="96" spans="1:25" ht="12.75" customHeight="1" x14ac:dyDescent="0.25">
      <c r="A96" s="77"/>
      <c r="B96" s="130"/>
      <c r="C96" s="130"/>
      <c r="D96" s="130"/>
      <c r="E96" s="130"/>
      <c r="F96" s="77"/>
      <c r="G96" s="77"/>
      <c r="H96" s="77"/>
      <c r="I96" s="77"/>
      <c r="J96" s="77"/>
      <c r="K96" s="77"/>
      <c r="L96" s="77"/>
      <c r="M96" s="77"/>
      <c r="N96" s="77"/>
      <c r="O96" s="77"/>
      <c r="P96" s="77"/>
      <c r="Q96" s="77"/>
      <c r="R96" s="77"/>
      <c r="S96" s="77"/>
      <c r="T96" s="77"/>
      <c r="U96" s="77"/>
      <c r="V96" s="77"/>
      <c r="W96" s="77"/>
      <c r="X96" s="77"/>
      <c r="Y96" s="77"/>
    </row>
    <row r="97" spans="1:25" x14ac:dyDescent="0.25">
      <c r="A97" s="77"/>
      <c r="B97" s="238" t="s">
        <v>272</v>
      </c>
      <c r="C97" s="238"/>
      <c r="D97" s="238"/>
      <c r="E97" s="238"/>
      <c r="F97" s="238"/>
      <c r="G97" s="238"/>
      <c r="H97" s="238"/>
      <c r="I97" s="238"/>
      <c r="J97" s="238"/>
      <c r="K97" s="77"/>
      <c r="L97" s="77"/>
      <c r="M97" s="77"/>
      <c r="N97" s="77"/>
      <c r="O97" s="77"/>
      <c r="P97" s="77"/>
      <c r="Q97" s="77"/>
      <c r="R97" s="77"/>
      <c r="S97" s="77"/>
      <c r="T97" s="77"/>
      <c r="U97" s="77"/>
      <c r="V97" s="77"/>
      <c r="W97" s="77"/>
      <c r="X97" s="77"/>
      <c r="Y97" s="77"/>
    </row>
    <row r="98" spans="1:25" ht="12.75" customHeight="1" x14ac:dyDescent="0.25">
      <c r="A98" s="77"/>
      <c r="B98" s="158"/>
      <c r="C98" s="158"/>
      <c r="D98" s="158"/>
      <c r="E98" s="158"/>
      <c r="F98" s="158"/>
      <c r="G98" s="158"/>
      <c r="H98" s="94"/>
      <c r="I98" s="94"/>
      <c r="J98" s="77"/>
      <c r="K98" s="77"/>
      <c r="L98" s="77"/>
      <c r="M98" s="77"/>
      <c r="N98" s="77"/>
      <c r="O98" s="77"/>
      <c r="P98" s="77"/>
      <c r="Q98" s="77"/>
      <c r="R98" s="77"/>
      <c r="S98" s="77"/>
      <c r="T98" s="77"/>
      <c r="U98" s="77"/>
      <c r="V98" s="77"/>
      <c r="W98" s="77"/>
      <c r="X98" s="77"/>
      <c r="Y98" s="77"/>
    </row>
    <row r="99" spans="1:25" ht="12.75" customHeight="1" x14ac:dyDescent="0.25">
      <c r="A99" s="77"/>
      <c r="B99" s="164" t="s">
        <v>134</v>
      </c>
      <c r="C99" s="121"/>
      <c r="D99" s="121"/>
      <c r="E99" s="121"/>
      <c r="F99" s="121"/>
      <c r="G99" s="121"/>
      <c r="H99" s="94"/>
      <c r="I99" s="94"/>
      <c r="J99" s="77"/>
      <c r="K99" s="77"/>
      <c r="L99" s="77"/>
      <c r="M99" s="77"/>
      <c r="N99" s="77"/>
      <c r="O99" s="77"/>
      <c r="P99" s="77"/>
      <c r="Q99" s="77"/>
      <c r="R99" s="77"/>
      <c r="S99" s="77"/>
      <c r="T99" s="77"/>
      <c r="U99" s="77"/>
      <c r="V99" s="77"/>
      <c r="W99" s="77"/>
      <c r="X99" s="77"/>
      <c r="Y99" s="77"/>
    </row>
    <row r="100" spans="1:25" ht="12.75" customHeight="1" x14ac:dyDescent="0.25">
      <c r="A100" s="77"/>
      <c r="B100" s="125" t="s">
        <v>310</v>
      </c>
      <c r="C100" s="158"/>
      <c r="D100" s="158"/>
      <c r="E100" s="158"/>
      <c r="F100" s="158"/>
      <c r="G100" s="158"/>
      <c r="H100" s="237">
        <f>I18/2000</f>
        <v>92.5</v>
      </c>
      <c r="I100" s="237"/>
      <c r="J100" s="77"/>
      <c r="K100" s="77"/>
      <c r="L100" s="77"/>
      <c r="M100" s="77"/>
      <c r="N100" s="77"/>
      <c r="O100" s="77"/>
      <c r="P100" s="77"/>
      <c r="Q100" s="77"/>
      <c r="R100" s="77"/>
      <c r="S100" s="77"/>
      <c r="T100" s="77"/>
      <c r="U100" s="77"/>
      <c r="V100" s="77"/>
      <c r="W100" s="77"/>
      <c r="X100" s="77"/>
      <c r="Y100" s="77"/>
    </row>
    <row r="101" spans="1:25" ht="12.75" customHeight="1" x14ac:dyDescent="0.25">
      <c r="A101" s="77"/>
      <c r="B101" s="125" t="s">
        <v>132</v>
      </c>
      <c r="C101" s="158"/>
      <c r="D101" s="158"/>
      <c r="E101" s="158"/>
      <c r="F101" s="158"/>
      <c r="G101" s="158"/>
      <c r="H101" s="97">
        <f>H38</f>
        <v>62.296999999999997</v>
      </c>
      <c r="I101" s="97">
        <f>I38</f>
        <v>60.876000000000005</v>
      </c>
      <c r="J101" s="77"/>
      <c r="K101" s="77"/>
      <c r="L101" s="77"/>
      <c r="M101" s="77"/>
      <c r="N101" s="77"/>
      <c r="O101" s="77"/>
      <c r="P101" s="77"/>
      <c r="Q101" s="77"/>
      <c r="R101" s="77"/>
      <c r="S101" s="77"/>
      <c r="T101" s="77"/>
      <c r="U101" s="77"/>
      <c r="V101" s="77"/>
      <c r="W101" s="77"/>
      <c r="X101" s="77"/>
      <c r="Y101" s="77"/>
    </row>
    <row r="102" spans="1:25" ht="12.75" customHeight="1" x14ac:dyDescent="0.25">
      <c r="A102" s="77"/>
      <c r="B102" s="125" t="s">
        <v>133</v>
      </c>
      <c r="C102" s="158"/>
      <c r="D102" s="158"/>
      <c r="E102" s="158"/>
      <c r="F102" s="158"/>
      <c r="G102" s="158"/>
      <c r="H102" s="111">
        <f>+H35</f>
        <v>6820.8</v>
      </c>
      <c r="I102" s="111">
        <f>+I35</f>
        <v>7199.7333333333336</v>
      </c>
      <c r="J102" s="77"/>
      <c r="K102" s="77"/>
      <c r="L102" s="77"/>
      <c r="M102" s="77"/>
      <c r="N102" s="77"/>
      <c r="O102" s="77"/>
      <c r="P102" s="77"/>
      <c r="Q102" s="77"/>
      <c r="R102" s="77"/>
      <c r="S102" s="77"/>
      <c r="T102" s="77"/>
      <c r="U102" s="77"/>
      <c r="V102" s="77"/>
      <c r="W102" s="77"/>
      <c r="X102" s="77"/>
      <c r="Y102" s="77"/>
    </row>
    <row r="103" spans="1:25" ht="12.75" customHeight="1" x14ac:dyDescent="0.25">
      <c r="A103" s="77"/>
      <c r="B103" s="158"/>
      <c r="C103" s="158"/>
      <c r="D103" s="158"/>
      <c r="E103" s="158"/>
      <c r="F103" s="158"/>
      <c r="G103" s="158"/>
      <c r="H103" s="94"/>
      <c r="I103" s="94"/>
      <c r="J103" s="77"/>
      <c r="K103" s="77"/>
      <c r="L103" s="77"/>
      <c r="M103" s="77"/>
      <c r="N103" s="77"/>
      <c r="O103" s="77"/>
      <c r="P103" s="77"/>
      <c r="Q103" s="77"/>
      <c r="R103" s="77"/>
      <c r="S103" s="77"/>
      <c r="T103" s="77"/>
      <c r="U103" s="77"/>
      <c r="V103" s="77"/>
      <c r="W103" s="77"/>
      <c r="X103" s="77"/>
      <c r="Y103" s="77"/>
    </row>
    <row r="104" spans="1:25" ht="12.75" customHeight="1" x14ac:dyDescent="0.25">
      <c r="A104" s="77"/>
      <c r="B104" s="165" t="s">
        <v>58</v>
      </c>
      <c r="C104" s="166"/>
      <c r="D104" s="166"/>
      <c r="E104" s="166"/>
      <c r="F104" s="166"/>
      <c r="G104" s="166"/>
      <c r="H104" s="125"/>
      <c r="I104" s="125"/>
      <c r="J104" s="77"/>
      <c r="K104" s="77"/>
      <c r="L104" s="77"/>
      <c r="M104" s="77"/>
      <c r="N104" s="77"/>
      <c r="O104" s="77"/>
      <c r="P104" s="77"/>
      <c r="Q104" s="77"/>
      <c r="R104" s="77"/>
      <c r="S104" s="77"/>
      <c r="T104" s="77"/>
      <c r="U104" s="77"/>
      <c r="V104" s="77"/>
      <c r="W104" s="77"/>
      <c r="X104" s="77"/>
      <c r="Y104" s="77"/>
    </row>
    <row r="105" spans="1:25" ht="12.75" customHeight="1" x14ac:dyDescent="0.25">
      <c r="A105" s="77"/>
      <c r="B105" s="125" t="s">
        <v>304</v>
      </c>
      <c r="C105" s="125"/>
      <c r="D105" s="125"/>
      <c r="E105" s="125"/>
      <c r="F105" s="125"/>
      <c r="G105" s="125"/>
      <c r="H105" s="167">
        <f>H72+H71+H69+H66</f>
        <v>1619.7678571428571</v>
      </c>
      <c r="I105" s="167">
        <f>I72+I71+I69+I66</f>
        <v>2761.3392857142858</v>
      </c>
      <c r="J105" s="77"/>
      <c r="K105" s="77"/>
      <c r="L105" s="77"/>
      <c r="M105" s="77"/>
      <c r="N105" s="77"/>
      <c r="O105" s="77"/>
      <c r="P105" s="77"/>
      <c r="Q105" s="77"/>
      <c r="R105" s="77"/>
      <c r="S105" s="77"/>
      <c r="T105" s="77"/>
      <c r="U105" s="77"/>
      <c r="V105" s="77"/>
      <c r="W105" s="77"/>
      <c r="X105" s="77"/>
      <c r="Y105" s="77"/>
    </row>
    <row r="106" spans="1:25" ht="12.75" customHeight="1" x14ac:dyDescent="0.25">
      <c r="A106" s="77"/>
      <c r="B106" s="125" t="s">
        <v>71</v>
      </c>
      <c r="C106" s="125"/>
      <c r="D106" s="125"/>
      <c r="E106" s="125"/>
      <c r="F106" s="125"/>
      <c r="G106" s="125"/>
      <c r="H106" s="168">
        <f>H105/($I$18/2000)</f>
        <v>17.511003861003861</v>
      </c>
      <c r="I106" s="168">
        <f>I105/($I$18/2000)</f>
        <v>29.852316602316602</v>
      </c>
      <c r="J106" s="77"/>
      <c r="K106" s="77"/>
      <c r="L106" s="77"/>
      <c r="M106" s="77"/>
      <c r="N106" s="77"/>
      <c r="O106" s="77"/>
      <c r="P106" s="77"/>
      <c r="Q106" s="77"/>
      <c r="R106" s="77"/>
      <c r="S106" s="77"/>
      <c r="T106" s="77"/>
      <c r="U106" s="77"/>
      <c r="V106" s="77"/>
      <c r="W106" s="77"/>
      <c r="X106" s="77"/>
      <c r="Y106" s="77"/>
    </row>
    <row r="107" spans="1:25" ht="12.75" customHeight="1" x14ac:dyDescent="0.25">
      <c r="A107" s="77"/>
      <c r="B107" s="130" t="s">
        <v>116</v>
      </c>
      <c r="C107" s="130"/>
      <c r="D107" s="130"/>
      <c r="E107" s="130"/>
      <c r="F107" s="94"/>
      <c r="G107" s="94"/>
      <c r="H107" s="168">
        <f>H105/H35</f>
        <v>0.2374747620723166</v>
      </c>
      <c r="I107" s="168">
        <f>I105/I35</f>
        <v>0.38353355018439839</v>
      </c>
      <c r="J107" s="94"/>
      <c r="K107" s="77"/>
      <c r="L107" s="77"/>
      <c r="M107" s="77"/>
      <c r="N107" s="77"/>
      <c r="O107" s="77"/>
      <c r="P107" s="77"/>
      <c r="Q107" s="77"/>
      <c r="R107" s="77"/>
      <c r="S107" s="77"/>
      <c r="T107" s="77"/>
      <c r="U107" s="77"/>
      <c r="V107" s="77"/>
      <c r="W107" s="77"/>
      <c r="X107" s="77"/>
      <c r="Y107" s="77"/>
    </row>
    <row r="108" spans="1:25" ht="12.75" customHeight="1" x14ac:dyDescent="0.25">
      <c r="A108" s="77"/>
      <c r="B108" s="130"/>
      <c r="C108" s="130"/>
      <c r="D108" s="130"/>
      <c r="E108" s="130"/>
      <c r="F108" s="94"/>
      <c r="G108" s="94"/>
      <c r="H108" s="162"/>
      <c r="I108" s="162"/>
      <c r="J108" s="94"/>
      <c r="K108" s="77"/>
      <c r="L108" s="77"/>
      <c r="M108" s="77"/>
      <c r="N108" s="77"/>
      <c r="O108" s="77"/>
      <c r="P108" s="77"/>
      <c r="Q108" s="77"/>
      <c r="R108" s="77"/>
      <c r="S108" s="77"/>
      <c r="T108" s="77"/>
      <c r="U108" s="77"/>
      <c r="V108" s="77"/>
      <c r="W108" s="77"/>
      <c r="X108" s="77"/>
      <c r="Y108" s="77"/>
    </row>
    <row r="109" spans="1:25" ht="12.75" customHeight="1" x14ac:dyDescent="0.25">
      <c r="A109" s="77"/>
      <c r="B109" s="165" t="s">
        <v>28</v>
      </c>
      <c r="C109" s="166"/>
      <c r="D109" s="166"/>
      <c r="E109" s="166"/>
      <c r="F109" s="166"/>
      <c r="G109" s="166"/>
      <c r="H109" s="162"/>
      <c r="I109" s="162"/>
      <c r="J109" s="94"/>
      <c r="K109" s="77"/>
      <c r="L109" s="77"/>
      <c r="M109" s="77"/>
      <c r="N109" s="77"/>
      <c r="O109" s="77"/>
      <c r="P109" s="77"/>
      <c r="Q109" s="77"/>
      <c r="R109" s="77"/>
      <c r="S109" s="77"/>
      <c r="T109" s="77"/>
      <c r="U109" s="77"/>
      <c r="V109" s="77"/>
      <c r="W109" s="77"/>
      <c r="X109" s="77"/>
      <c r="Y109" s="77"/>
    </row>
    <row r="110" spans="1:25" ht="12.75" customHeight="1" x14ac:dyDescent="0.25">
      <c r="A110" s="77"/>
      <c r="B110" s="169" t="s">
        <v>288</v>
      </c>
      <c r="C110" s="170"/>
      <c r="D110" s="170"/>
      <c r="E110" s="170"/>
      <c r="F110" s="170"/>
      <c r="G110" s="170"/>
      <c r="H110" s="167">
        <f>+P18</f>
        <v>22000</v>
      </c>
      <c r="I110" s="167">
        <f>+H110</f>
        <v>22000</v>
      </c>
      <c r="J110" s="94"/>
      <c r="K110" s="77"/>
      <c r="L110" s="77"/>
      <c r="M110" s="77"/>
      <c r="N110" s="77"/>
      <c r="O110" s="77"/>
      <c r="P110" s="77"/>
      <c r="Q110" s="77"/>
      <c r="R110" s="77"/>
      <c r="S110" s="77"/>
      <c r="T110" s="77"/>
      <c r="U110" s="77"/>
      <c r="V110" s="77"/>
      <c r="W110" s="77"/>
      <c r="X110" s="77"/>
      <c r="Y110" s="77"/>
    </row>
    <row r="111" spans="1:25" ht="12.75" customHeight="1" x14ac:dyDescent="0.25">
      <c r="A111" s="77"/>
      <c r="B111" s="169" t="s">
        <v>287</v>
      </c>
      <c r="C111" s="77"/>
      <c r="D111" s="77"/>
      <c r="E111" s="77"/>
      <c r="F111" s="77"/>
      <c r="G111" s="77"/>
      <c r="H111" s="167">
        <f>+Q18</f>
        <v>6000</v>
      </c>
      <c r="I111" s="167">
        <f>+H111</f>
        <v>6000</v>
      </c>
      <c r="J111" s="77"/>
      <c r="K111" s="77"/>
      <c r="L111" s="77"/>
      <c r="M111" s="77"/>
      <c r="N111" s="77"/>
      <c r="O111" s="77"/>
      <c r="P111" s="77"/>
      <c r="Q111" s="77"/>
      <c r="R111" s="77"/>
      <c r="S111" s="77"/>
      <c r="T111" s="77"/>
      <c r="U111" s="77"/>
      <c r="V111" s="77"/>
      <c r="W111" s="77"/>
      <c r="X111" s="77"/>
      <c r="Y111" s="77"/>
    </row>
    <row r="112" spans="1:25" ht="12.75" customHeight="1" x14ac:dyDescent="0.25">
      <c r="A112" s="77"/>
      <c r="B112" s="169" t="s">
        <v>286</v>
      </c>
      <c r="C112" s="77"/>
      <c r="D112" s="77"/>
      <c r="E112" s="77"/>
      <c r="F112" s="77"/>
      <c r="G112" s="77"/>
      <c r="H112" s="167">
        <f>IF($R$20&gt;$Q$19,$R$20-$Q$19,0)</f>
        <v>7500</v>
      </c>
      <c r="I112" s="167">
        <f>IF($R$20&gt;$Q$19,$R$20-$Q$19,0)</f>
        <v>7500</v>
      </c>
      <c r="J112" s="77"/>
      <c r="K112" s="77"/>
      <c r="L112" s="77"/>
      <c r="M112" s="77"/>
      <c r="N112" s="77"/>
      <c r="O112" s="77"/>
      <c r="P112" s="77"/>
      <c r="Q112" s="77"/>
      <c r="R112" s="77"/>
      <c r="S112" s="77"/>
      <c r="T112" s="77"/>
      <c r="U112" s="77"/>
      <c r="V112" s="77"/>
      <c r="W112" s="77"/>
      <c r="X112" s="77"/>
      <c r="Y112" s="77"/>
    </row>
    <row r="113" spans="1:25" ht="12.75" customHeight="1" x14ac:dyDescent="0.25">
      <c r="A113" s="77"/>
      <c r="B113" s="125" t="s">
        <v>115</v>
      </c>
      <c r="C113" s="125"/>
      <c r="D113" s="125"/>
      <c r="E113" s="125"/>
      <c r="F113" s="125"/>
      <c r="G113" s="125"/>
      <c r="H113" s="148">
        <f>+H111+H110+H112</f>
        <v>35500</v>
      </c>
      <c r="I113" s="148">
        <f>+I111+I110+I112</f>
        <v>35500</v>
      </c>
      <c r="J113" s="77"/>
      <c r="K113" s="77"/>
      <c r="L113" s="77"/>
      <c r="M113" s="77"/>
      <c r="N113" s="77"/>
      <c r="O113" s="77"/>
      <c r="P113" s="77"/>
      <c r="Q113" s="77"/>
      <c r="R113" s="77"/>
      <c r="S113" s="77"/>
      <c r="T113" s="77"/>
      <c r="U113" s="77"/>
      <c r="V113" s="77"/>
      <c r="W113" s="77"/>
      <c r="X113" s="77"/>
      <c r="Y113" s="77"/>
    </row>
    <row r="114" spans="1:25" ht="12.75" customHeight="1" thickBot="1" x14ac:dyDescent="0.3">
      <c r="A114" s="77"/>
      <c r="B114" s="125" t="s">
        <v>123</v>
      </c>
      <c r="C114" s="125"/>
      <c r="D114" s="125"/>
      <c r="E114" s="125"/>
      <c r="F114" s="125"/>
      <c r="G114" s="125"/>
      <c r="H114" s="171">
        <f>H79+H93</f>
        <v>3879.9423345454543</v>
      </c>
      <c r="I114" s="171">
        <f>I79+I93</f>
        <v>2196.8574037037038</v>
      </c>
      <c r="J114" s="77"/>
      <c r="K114" s="77"/>
      <c r="L114" s="77"/>
      <c r="M114" s="77"/>
      <c r="N114" s="77"/>
      <c r="O114" s="77"/>
      <c r="P114" s="77"/>
      <c r="Q114" s="77"/>
      <c r="R114" s="77"/>
      <c r="S114" s="77"/>
      <c r="T114" s="77"/>
      <c r="U114" s="77"/>
      <c r="V114" s="77"/>
      <c r="W114" s="77"/>
      <c r="X114" s="77"/>
      <c r="Y114" s="77"/>
    </row>
    <row r="115" spans="1:25" ht="12.75" customHeight="1" thickTop="1" x14ac:dyDescent="0.25">
      <c r="A115" s="77"/>
      <c r="B115" s="125"/>
      <c r="C115" s="125"/>
      <c r="D115" s="125"/>
      <c r="E115" s="125"/>
      <c r="F115" s="125"/>
      <c r="G115" s="162" t="s">
        <v>291</v>
      </c>
      <c r="H115" s="156">
        <f>SUM(H113:H114)</f>
        <v>39379.942334545456</v>
      </c>
      <c r="I115" s="156">
        <f>SUM(I113:I114)</f>
        <v>37696.857403703703</v>
      </c>
      <c r="J115" s="77"/>
      <c r="K115" s="77"/>
      <c r="L115" s="77"/>
      <c r="M115" s="77"/>
      <c r="N115" s="77"/>
      <c r="O115" s="77"/>
      <c r="P115" s="77"/>
      <c r="Q115" s="77"/>
      <c r="R115" s="77"/>
      <c r="S115" s="77"/>
      <c r="T115" s="77"/>
      <c r="U115" s="77"/>
      <c r="V115" s="77"/>
      <c r="W115" s="77"/>
      <c r="X115" s="77"/>
      <c r="Y115" s="77"/>
    </row>
    <row r="116" spans="1:25" ht="12.75" customHeight="1" x14ac:dyDescent="0.25">
      <c r="A116" s="77"/>
      <c r="B116" s="125" t="s">
        <v>308</v>
      </c>
      <c r="C116" s="125"/>
      <c r="D116" s="125"/>
      <c r="E116" s="125"/>
      <c r="F116" s="125"/>
      <c r="G116" s="125"/>
      <c r="H116" s="168">
        <f>H95/($I$18/2000)</f>
        <v>425.72910631941033</v>
      </c>
      <c r="I116" s="168">
        <f>I95/($I$18/2000)</f>
        <v>407.53359355355354</v>
      </c>
      <c r="J116" s="77"/>
      <c r="K116" s="77"/>
      <c r="L116" s="77"/>
      <c r="M116" s="77"/>
      <c r="N116" s="77"/>
      <c r="O116" s="77"/>
      <c r="P116" s="77"/>
      <c r="Q116" s="77"/>
      <c r="R116" s="77"/>
      <c r="S116" s="77"/>
      <c r="T116" s="77"/>
      <c r="U116" s="77"/>
      <c r="V116" s="77"/>
      <c r="W116" s="77"/>
      <c r="X116" s="77"/>
      <c r="Y116" s="77"/>
    </row>
    <row r="117" spans="1:25" ht="12.75" customHeight="1" x14ac:dyDescent="0.25">
      <c r="A117" s="77"/>
      <c r="B117" s="125" t="s">
        <v>117</v>
      </c>
      <c r="C117" s="125"/>
      <c r="D117" s="125"/>
      <c r="E117" s="125"/>
      <c r="F117" s="125"/>
      <c r="G117" s="125"/>
      <c r="H117" s="168">
        <f>H95/H35</f>
        <v>5.7735078487194249</v>
      </c>
      <c r="I117" s="168">
        <f>I95/I35</f>
        <v>5.2358685604610864</v>
      </c>
      <c r="J117" s="77"/>
      <c r="K117" s="77"/>
      <c r="L117" s="77"/>
      <c r="M117" s="77"/>
      <c r="N117" s="77"/>
      <c r="O117" s="77"/>
      <c r="P117" s="77"/>
      <c r="Q117" s="77"/>
      <c r="R117" s="77"/>
      <c r="S117" s="77"/>
      <c r="T117" s="77"/>
      <c r="U117" s="77"/>
      <c r="V117" s="77"/>
      <c r="W117" s="77"/>
      <c r="X117" s="77"/>
      <c r="Y117" s="77"/>
    </row>
    <row r="118" spans="1:25" ht="12.75" customHeight="1" x14ac:dyDescent="0.25">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row>
    <row r="119" spans="1:25" ht="12.75" customHeight="1" x14ac:dyDescent="0.25">
      <c r="A119" s="77"/>
      <c r="B119" s="165" t="s">
        <v>135</v>
      </c>
      <c r="C119" s="166"/>
      <c r="D119" s="166"/>
      <c r="E119" s="166"/>
      <c r="F119" s="166"/>
      <c r="G119" s="166"/>
      <c r="H119" s="77"/>
      <c r="I119" s="77"/>
      <c r="J119" s="77"/>
      <c r="K119" s="77"/>
      <c r="L119" s="77"/>
      <c r="M119" s="77"/>
      <c r="N119" s="77"/>
      <c r="O119" s="77"/>
      <c r="P119" s="77"/>
      <c r="Q119" s="77"/>
      <c r="R119" s="77"/>
      <c r="S119" s="77"/>
      <c r="T119" s="77"/>
      <c r="U119" s="77"/>
      <c r="V119" s="77"/>
      <c r="W119" s="77"/>
      <c r="X119" s="77"/>
      <c r="Y119" s="77"/>
    </row>
    <row r="120" spans="1:25" ht="12.75" customHeight="1" x14ac:dyDescent="0.25">
      <c r="A120" s="77"/>
      <c r="B120" s="172" t="s">
        <v>136</v>
      </c>
      <c r="C120" s="170"/>
      <c r="D120" s="170"/>
      <c r="E120" s="170"/>
      <c r="F120" s="170"/>
      <c r="G120" s="170"/>
      <c r="H120" s="155">
        <f>H105+H115</f>
        <v>40999.710191688311</v>
      </c>
      <c r="I120" s="155">
        <f>I105+I115</f>
        <v>40458.196689417986</v>
      </c>
      <c r="J120" s="77"/>
      <c r="K120" s="77"/>
      <c r="L120" s="77"/>
      <c r="M120" s="77"/>
      <c r="N120" s="77"/>
      <c r="O120" s="77"/>
      <c r="P120" s="77"/>
      <c r="Q120" s="77"/>
      <c r="R120" s="77"/>
      <c r="S120" s="77"/>
      <c r="T120" s="77"/>
      <c r="U120" s="77"/>
      <c r="V120" s="77"/>
      <c r="W120" s="77"/>
      <c r="X120" s="77"/>
      <c r="Y120" s="77"/>
    </row>
    <row r="121" spans="1:25" ht="12.75" customHeight="1" x14ac:dyDescent="0.25">
      <c r="A121" s="77"/>
      <c r="B121" s="125" t="s">
        <v>308</v>
      </c>
      <c r="C121" s="77"/>
      <c r="D121" s="77"/>
      <c r="E121" s="77"/>
      <c r="F121" s="77"/>
      <c r="G121" s="77"/>
      <c r="H121" s="126">
        <f>H120/($I$18/2000)</f>
        <v>443.24011018041415</v>
      </c>
      <c r="I121" s="126">
        <f>I120/($I$18/2000)</f>
        <v>437.38591015587014</v>
      </c>
      <c r="J121" s="77"/>
      <c r="K121" s="77"/>
      <c r="L121" s="77"/>
      <c r="M121" s="77"/>
      <c r="N121" s="77"/>
      <c r="O121" s="77"/>
      <c r="P121" s="77"/>
      <c r="Q121" s="77"/>
      <c r="R121" s="77"/>
      <c r="S121" s="77"/>
      <c r="T121" s="77"/>
      <c r="U121" s="77"/>
      <c r="V121" s="77"/>
      <c r="W121" s="77"/>
      <c r="X121" s="77"/>
      <c r="Y121" s="77"/>
    </row>
    <row r="122" spans="1:25" ht="12.75" customHeight="1" x14ac:dyDescent="0.25">
      <c r="A122" s="77"/>
      <c r="B122" s="125" t="s">
        <v>117</v>
      </c>
      <c r="C122" s="77"/>
      <c r="D122" s="77"/>
      <c r="E122" s="77"/>
      <c r="F122" s="77"/>
      <c r="G122" s="77"/>
      <c r="H122" s="126">
        <f>H120/H35</f>
        <v>6.010982610791741</v>
      </c>
      <c r="I122" s="126">
        <f>I120/I35</f>
        <v>5.6194021106454848</v>
      </c>
      <c r="J122" s="77"/>
      <c r="K122" s="77"/>
      <c r="L122" s="77"/>
      <c r="M122" s="77"/>
      <c r="N122" s="77"/>
      <c r="O122" s="77"/>
      <c r="P122" s="77"/>
      <c r="Q122" s="77"/>
      <c r="R122" s="77"/>
      <c r="S122" s="77"/>
      <c r="T122" s="77"/>
      <c r="U122" s="77"/>
      <c r="V122" s="77"/>
      <c r="W122" s="77"/>
      <c r="X122" s="77"/>
      <c r="Y122" s="77"/>
    </row>
    <row r="123" spans="1:25" ht="12.75" customHeight="1" x14ac:dyDescent="0.25">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row>
    <row r="124" spans="1:25" ht="12.75" customHeight="1" x14ac:dyDescent="0.25">
      <c r="A124" s="77"/>
      <c r="B124" s="125"/>
      <c r="C124" s="125"/>
      <c r="D124" s="125"/>
      <c r="E124" s="125"/>
      <c r="F124" s="125"/>
      <c r="G124" s="125"/>
      <c r="H124" s="168"/>
      <c r="I124" s="168"/>
      <c r="J124" s="94"/>
      <c r="K124" s="77"/>
      <c r="L124" s="77"/>
      <c r="M124" s="77"/>
      <c r="N124" s="77"/>
      <c r="O124" s="77"/>
      <c r="P124" s="77"/>
      <c r="Q124" s="77"/>
      <c r="R124" s="77"/>
      <c r="S124" s="77"/>
      <c r="T124" s="77"/>
      <c r="U124" s="77"/>
      <c r="V124" s="77"/>
      <c r="W124" s="77"/>
      <c r="X124" s="77"/>
      <c r="Y124" s="77"/>
    </row>
    <row r="125" spans="1:25" ht="12.75" customHeight="1" x14ac:dyDescent="0.25">
      <c r="A125" s="77"/>
      <c r="B125" s="165" t="s">
        <v>137</v>
      </c>
      <c r="C125" s="166"/>
      <c r="D125" s="166"/>
      <c r="E125" s="166"/>
      <c r="F125" s="166"/>
      <c r="G125" s="166"/>
      <c r="H125" s="168"/>
      <c r="I125" s="168"/>
      <c r="J125" s="94"/>
      <c r="K125" s="77"/>
      <c r="L125" s="77"/>
      <c r="M125" s="77"/>
      <c r="N125" s="77"/>
      <c r="O125" s="77"/>
      <c r="P125" s="77"/>
      <c r="Q125" s="77"/>
      <c r="R125" s="77"/>
      <c r="S125" s="77"/>
      <c r="T125" s="77"/>
      <c r="U125" s="77"/>
      <c r="V125" s="77"/>
      <c r="W125" s="77"/>
      <c r="X125" s="77"/>
      <c r="Y125" s="77"/>
    </row>
    <row r="126" spans="1:25" ht="12.75" customHeight="1" x14ac:dyDescent="0.25">
      <c r="A126" s="77"/>
      <c r="B126" s="169" t="s">
        <v>299</v>
      </c>
      <c r="C126" s="170"/>
      <c r="D126" s="170"/>
      <c r="E126" s="170"/>
      <c r="F126" s="170"/>
      <c r="G126" s="170"/>
      <c r="H126" s="168">
        <f>+H38*H46*H42</f>
        <v>14951.279999999999</v>
      </c>
      <c r="I126" s="168">
        <f>+I38*I46*I42</f>
        <v>14610.240000000003</v>
      </c>
      <c r="J126" s="94"/>
      <c r="K126" s="77"/>
      <c r="L126" s="77"/>
      <c r="M126" s="77"/>
      <c r="N126" s="77"/>
      <c r="O126" s="77"/>
      <c r="P126" s="77"/>
      <c r="Q126" s="77"/>
      <c r="R126" s="77"/>
      <c r="S126" s="77"/>
      <c r="T126" s="77"/>
      <c r="U126" s="77"/>
      <c r="V126" s="77"/>
      <c r="W126" s="77"/>
      <c r="X126" s="77"/>
      <c r="Y126" s="77"/>
    </row>
    <row r="127" spans="1:25" ht="12.75" customHeight="1" thickBot="1" x14ac:dyDescent="0.3">
      <c r="A127" s="77"/>
      <c r="B127" s="169" t="s">
        <v>300</v>
      </c>
      <c r="C127" s="170"/>
      <c r="D127" s="170"/>
      <c r="E127" s="170"/>
      <c r="F127" s="170"/>
      <c r="G127" s="170"/>
      <c r="H127" s="171">
        <f>+H38*(1-H42)*H44</f>
        <v>3987.0079999999989</v>
      </c>
      <c r="I127" s="171">
        <f>+I38*(1-I42)*I44</f>
        <v>3896.0639999999994</v>
      </c>
      <c r="J127" s="94"/>
      <c r="K127" s="77"/>
      <c r="L127" s="77"/>
      <c r="M127" s="77"/>
      <c r="N127" s="77"/>
      <c r="O127" s="77"/>
      <c r="P127" s="77"/>
      <c r="Q127" s="77"/>
      <c r="R127" s="77"/>
      <c r="S127" s="77"/>
      <c r="T127" s="77"/>
      <c r="U127" s="77"/>
      <c r="V127" s="77"/>
      <c r="W127" s="77"/>
      <c r="X127" s="77"/>
      <c r="Y127" s="77"/>
    </row>
    <row r="128" spans="1:25" ht="12.75" customHeight="1" thickTop="1" x14ac:dyDescent="0.25">
      <c r="A128" s="77"/>
      <c r="B128" s="125" t="s">
        <v>253</v>
      </c>
      <c r="C128" s="125"/>
      <c r="D128" s="125"/>
      <c r="E128" s="125"/>
      <c r="F128" s="125"/>
      <c r="G128" s="125"/>
      <c r="H128" s="156">
        <f>+H126+H127</f>
        <v>18938.287999999997</v>
      </c>
      <c r="I128" s="156">
        <f>+I126+I127</f>
        <v>18506.304000000004</v>
      </c>
      <c r="J128" s="77"/>
      <c r="K128" s="77"/>
      <c r="L128" s="77"/>
      <c r="M128" s="77"/>
      <c r="N128" s="77"/>
      <c r="O128" s="77"/>
      <c r="P128" s="77"/>
      <c r="Q128" s="77"/>
      <c r="R128" s="77"/>
      <c r="S128" s="77"/>
      <c r="T128" s="77"/>
      <c r="U128" s="77"/>
      <c r="V128" s="77"/>
      <c r="W128" s="77"/>
      <c r="X128" s="77"/>
      <c r="Y128" s="77"/>
    </row>
    <row r="129" spans="1:25" ht="12.75" customHeight="1" x14ac:dyDescent="0.25">
      <c r="A129" s="77"/>
      <c r="B129" s="125" t="s">
        <v>289</v>
      </c>
      <c r="C129" s="125"/>
      <c r="D129" s="125"/>
      <c r="E129" s="125"/>
      <c r="F129" s="125"/>
      <c r="G129" s="125"/>
      <c r="H129" s="168">
        <f>H128/H101</f>
        <v>303.99999999999994</v>
      </c>
      <c r="I129" s="168">
        <f>I128/I101</f>
        <v>304.00000000000006</v>
      </c>
      <c r="J129" s="77"/>
      <c r="K129" s="77"/>
      <c r="L129" s="77"/>
      <c r="M129" s="77"/>
      <c r="N129" s="77"/>
      <c r="O129" s="77"/>
      <c r="P129" s="77"/>
      <c r="Q129" s="77"/>
      <c r="R129" s="77"/>
      <c r="S129" s="77"/>
      <c r="T129" s="77"/>
      <c r="U129" s="77"/>
      <c r="V129" s="77"/>
      <c r="W129" s="77"/>
      <c r="X129" s="77"/>
      <c r="Y129" s="77"/>
    </row>
    <row r="130" spans="1:25" ht="12.75" customHeight="1" x14ac:dyDescent="0.25">
      <c r="A130" s="77"/>
      <c r="B130" s="94"/>
      <c r="C130" s="94"/>
      <c r="D130" s="94"/>
      <c r="E130" s="94"/>
      <c r="F130" s="94"/>
      <c r="G130" s="94"/>
      <c r="H130" s="147"/>
      <c r="I130" s="94"/>
      <c r="J130" s="94"/>
      <c r="K130" s="77"/>
      <c r="L130" s="77"/>
      <c r="M130" s="77"/>
      <c r="N130" s="77"/>
      <c r="O130" s="77"/>
      <c r="P130" s="77"/>
      <c r="Q130" s="77"/>
      <c r="R130" s="77"/>
      <c r="S130" s="77"/>
      <c r="T130" s="77"/>
      <c r="U130" s="77"/>
      <c r="V130" s="77"/>
      <c r="W130" s="77"/>
      <c r="X130" s="77"/>
      <c r="Y130" s="77"/>
    </row>
    <row r="131" spans="1:25" ht="12.75" customHeight="1" x14ac:dyDescent="0.25">
      <c r="A131" s="77"/>
      <c r="B131" s="165" t="s">
        <v>80</v>
      </c>
      <c r="C131" s="166"/>
      <c r="D131" s="166"/>
      <c r="E131" s="166"/>
      <c r="F131" s="166"/>
      <c r="G131" s="166"/>
      <c r="H131" s="94"/>
      <c r="I131" s="94"/>
      <c r="J131" s="94"/>
      <c r="K131" s="77"/>
      <c r="L131" s="77"/>
      <c r="M131" s="77"/>
      <c r="N131" s="77"/>
      <c r="O131" s="77"/>
      <c r="P131" s="77"/>
      <c r="Q131" s="77"/>
      <c r="R131" s="77"/>
      <c r="S131" s="77"/>
      <c r="T131" s="77"/>
      <c r="U131" s="77"/>
      <c r="V131" s="77"/>
      <c r="W131" s="77"/>
      <c r="X131" s="77"/>
      <c r="Y131" s="77"/>
    </row>
    <row r="132" spans="1:25" ht="12.75" customHeight="1" x14ac:dyDescent="0.25">
      <c r="A132" s="77"/>
      <c r="B132" s="130" t="s">
        <v>138</v>
      </c>
      <c r="C132" s="130"/>
      <c r="D132" s="130"/>
      <c r="E132" s="130"/>
      <c r="F132" s="130"/>
      <c r="G132" s="130"/>
      <c r="H132" s="148">
        <f>H120-H128</f>
        <v>22061.422191688314</v>
      </c>
      <c r="I132" s="148">
        <f>I120-I128</f>
        <v>21951.892689417982</v>
      </c>
      <c r="J132" s="77"/>
      <c r="K132" s="77"/>
      <c r="L132" s="77"/>
      <c r="M132" s="77"/>
      <c r="N132" s="77"/>
      <c r="O132" s="77"/>
      <c r="P132" s="77"/>
      <c r="Q132" s="77"/>
      <c r="R132" s="77"/>
      <c r="S132" s="77"/>
      <c r="T132" s="77"/>
      <c r="U132" s="77"/>
      <c r="V132" s="77"/>
      <c r="W132" s="77"/>
      <c r="X132" s="77"/>
      <c r="Y132" s="77"/>
    </row>
    <row r="133" spans="1:25" ht="12.75" customHeight="1" x14ac:dyDescent="0.25">
      <c r="A133" s="77"/>
      <c r="B133" s="94" t="s">
        <v>159</v>
      </c>
      <c r="C133" s="94"/>
      <c r="D133" s="94"/>
      <c r="E133" s="94"/>
      <c r="F133" s="94"/>
      <c r="G133" s="94"/>
      <c r="H133" s="147">
        <f>+H132/H35</f>
        <v>3.2344332324197036</v>
      </c>
      <c r="I133" s="147">
        <f>+I132/I35</f>
        <v>3.0489869100825007</v>
      </c>
      <c r="J133" s="77"/>
      <c r="K133" s="77"/>
      <c r="L133" s="77"/>
      <c r="M133" s="77"/>
      <c r="N133" s="77"/>
      <c r="O133" s="77"/>
      <c r="P133" s="77"/>
      <c r="Q133" s="77"/>
      <c r="R133" s="77"/>
      <c r="S133" s="77"/>
      <c r="T133" s="77"/>
      <c r="U133" s="77"/>
      <c r="V133" s="77"/>
      <c r="W133" s="77"/>
      <c r="X133" s="77"/>
      <c r="Y133" s="77"/>
    </row>
    <row r="134" spans="1:25" ht="12.75" customHeight="1" x14ac:dyDescent="0.25">
      <c r="A134" s="77"/>
      <c r="B134" s="94"/>
      <c r="C134" s="94"/>
      <c r="D134" s="94"/>
      <c r="E134" s="94"/>
      <c r="F134" s="94"/>
      <c r="G134" s="94"/>
      <c r="H134" s="77"/>
      <c r="I134" s="77"/>
      <c r="J134" s="77"/>
      <c r="K134" s="77"/>
      <c r="L134" s="77"/>
      <c r="M134" s="77"/>
      <c r="N134" s="77"/>
      <c r="O134" s="77"/>
      <c r="P134" s="77"/>
      <c r="Q134" s="77"/>
      <c r="R134" s="77"/>
      <c r="S134" s="77"/>
      <c r="T134" s="77"/>
      <c r="U134" s="77"/>
      <c r="V134" s="77"/>
      <c r="W134" s="77"/>
      <c r="X134" s="77"/>
      <c r="Y134" s="77"/>
    </row>
    <row r="135" spans="1:25" ht="12.75" customHeight="1" x14ac:dyDescent="0.25">
      <c r="A135" s="77"/>
      <c r="B135" s="94"/>
      <c r="C135" s="94"/>
      <c r="D135" s="94"/>
      <c r="E135" s="94"/>
      <c r="F135" s="94"/>
      <c r="G135" s="94"/>
      <c r="H135" s="77"/>
      <c r="I135" s="77"/>
      <c r="J135" s="77"/>
      <c r="K135" s="77"/>
      <c r="L135" s="77"/>
      <c r="M135" s="77"/>
      <c r="N135" s="77"/>
      <c r="O135" s="77"/>
      <c r="P135" s="77"/>
      <c r="Q135" s="77"/>
      <c r="R135" s="77"/>
      <c r="S135" s="77"/>
      <c r="T135" s="77"/>
      <c r="U135" s="77"/>
      <c r="V135" s="77"/>
      <c r="W135" s="77"/>
      <c r="X135" s="77"/>
      <c r="Y135" s="77"/>
    </row>
    <row r="136" spans="1:25" ht="12.75" customHeight="1" x14ac:dyDescent="0.25">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row>
    <row r="137" spans="1:25" ht="12.75" customHeight="1" x14ac:dyDescent="0.25">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row>
    <row r="138" spans="1:25" ht="12.75" customHeight="1" x14ac:dyDescent="0.25">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row>
    <row r="139" spans="1:25" ht="12.75" customHeight="1" x14ac:dyDescent="0.25">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row>
    <row r="140" spans="1:25" ht="12.75" customHeight="1" x14ac:dyDescent="0.25">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row>
    <row r="141" spans="1:25" ht="12.75" customHeight="1" x14ac:dyDescent="0.25">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row>
    <row r="142" spans="1:25" ht="12.75" customHeight="1" x14ac:dyDescent="0.25">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row>
    <row r="143" spans="1:25" ht="12.75" customHeight="1" x14ac:dyDescent="0.25">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row>
    <row r="144" spans="1:25" ht="12.75" customHeight="1" x14ac:dyDescent="0.25">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row>
    <row r="145" spans="1:25" ht="12.75" customHeight="1" x14ac:dyDescent="0.25">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row>
    <row r="146" spans="1:25" ht="12.75" customHeight="1" x14ac:dyDescent="0.25">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row>
    <row r="147" spans="1:25" ht="12.75" customHeight="1" x14ac:dyDescent="0.25">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row>
    <row r="148" spans="1:25" ht="12.75" customHeight="1" x14ac:dyDescent="0.25">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row>
    <row r="149" spans="1:25" ht="12.75" customHeight="1" x14ac:dyDescent="0.25">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row>
    <row r="150" spans="1:25" ht="12.75" customHeight="1" x14ac:dyDescent="0.25">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row>
    <row r="151" spans="1:25" ht="12.75" customHeight="1" x14ac:dyDescent="0.25">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row>
    <row r="152" spans="1:25" ht="12.75" customHeight="1" x14ac:dyDescent="0.25">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row>
    <row r="153" spans="1:25" ht="12.75" customHeight="1" x14ac:dyDescent="0.25">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row>
    <row r="154" spans="1:25" ht="12.75" customHeight="1" x14ac:dyDescent="0.25">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row>
    <row r="155" spans="1:25" ht="12.75" customHeight="1" x14ac:dyDescent="0.25">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row>
    <row r="156" spans="1:25" x14ac:dyDescent="0.25">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row>
    <row r="157" spans="1:25" x14ac:dyDescent="0.25">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row>
    <row r="158" spans="1:25" x14ac:dyDescent="0.25">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row>
    <row r="159" spans="1:25" x14ac:dyDescent="0.25">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row>
    <row r="160" spans="1:25" x14ac:dyDescent="0.25">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row>
    <row r="161" spans="1:25" x14ac:dyDescent="0.25">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row>
    <row r="162" spans="1:25" x14ac:dyDescent="0.25">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row>
    <row r="163" spans="1:25" x14ac:dyDescent="0.25">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row>
    <row r="164" spans="1:25" x14ac:dyDescent="0.25">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row>
    <row r="165" spans="1:25" x14ac:dyDescent="0.25">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row>
    <row r="166" spans="1:25" x14ac:dyDescent="0.2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row>
    <row r="167" spans="1:25" x14ac:dyDescent="0.25">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row>
    <row r="168" spans="1:25" x14ac:dyDescent="0.25">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row>
    <row r="169" spans="1:25" x14ac:dyDescent="0.25">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row>
    <row r="170" spans="1:25" x14ac:dyDescent="0.25">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row>
    <row r="171" spans="1:25" x14ac:dyDescent="0.25">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row>
    <row r="172" spans="1:25" x14ac:dyDescent="0.2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row>
    <row r="173" spans="1:25" x14ac:dyDescent="0.25">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row>
    <row r="174" spans="1:25" x14ac:dyDescent="0.25">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row>
    <row r="175" spans="1:25" x14ac:dyDescent="0.25">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row>
    <row r="176" spans="1:25" x14ac:dyDescent="0.25">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row>
    <row r="177" spans="1:25" x14ac:dyDescent="0.25">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row>
    <row r="178" spans="1:25" x14ac:dyDescent="0.25">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row>
    <row r="179" spans="1:25" x14ac:dyDescent="0.2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row>
    <row r="180" spans="1:25" x14ac:dyDescent="0.25">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row>
    <row r="181" spans="1:25" x14ac:dyDescent="0.25">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row>
    <row r="182" spans="1:25" x14ac:dyDescent="0.25">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row>
    <row r="183" spans="1:25" x14ac:dyDescent="0.25">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row>
    <row r="184" spans="1:25" x14ac:dyDescent="0.25">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row>
    <row r="185" spans="1:25" x14ac:dyDescent="0.25">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row>
    <row r="186" spans="1:25" x14ac:dyDescent="0.2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row>
    <row r="187" spans="1:25" x14ac:dyDescent="0.2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row>
    <row r="188" spans="1:25" x14ac:dyDescent="0.2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row>
    <row r="189" spans="1:25" x14ac:dyDescent="0.2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row>
    <row r="190" spans="1:25" x14ac:dyDescent="0.25">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row>
    <row r="191" spans="1:25" x14ac:dyDescent="0.25">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row>
    <row r="192" spans="1:25" x14ac:dyDescent="0.25">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row>
    <row r="193" spans="1:25" x14ac:dyDescent="0.25">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row>
    <row r="194" spans="1:25" x14ac:dyDescent="0.25">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row>
    <row r="195" spans="1:25" x14ac:dyDescent="0.25">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row>
    <row r="196" spans="1:25" x14ac:dyDescent="0.25">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row>
    <row r="197" spans="1:25" x14ac:dyDescent="0.25">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row>
    <row r="198" spans="1:25" x14ac:dyDescent="0.25">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row>
    <row r="199" spans="1:25" x14ac:dyDescent="0.25">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row>
    <row r="200" spans="1:25" x14ac:dyDescent="0.25">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row>
    <row r="201" spans="1:25" x14ac:dyDescent="0.25">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row>
    <row r="202" spans="1:25" x14ac:dyDescent="0.25">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row>
    <row r="203" spans="1:25" x14ac:dyDescent="0.25">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row>
    <row r="204" spans="1:25" x14ac:dyDescent="0.25">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row>
    <row r="205" spans="1:25" x14ac:dyDescent="0.25">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row>
    <row r="206" spans="1:25" x14ac:dyDescent="0.25">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row>
    <row r="207" spans="1:25" x14ac:dyDescent="0.25">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row>
    <row r="208" spans="1:25" x14ac:dyDescent="0.25">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row>
    <row r="209" spans="1:25" x14ac:dyDescent="0.25">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row>
    <row r="210" spans="1:25" x14ac:dyDescent="0.25">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row>
    <row r="211" spans="1:25" x14ac:dyDescent="0.25">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row>
    <row r="212" spans="1:25" x14ac:dyDescent="0.25">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row>
    <row r="213" spans="1:25" x14ac:dyDescent="0.25">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row>
    <row r="214" spans="1:25" x14ac:dyDescent="0.25">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row>
  </sheetData>
  <sheetProtection sheet="1" objects="1" scenarios="1" formatCells="0" formatColumns="0" formatRows="0"/>
  <mergeCells count="4">
    <mergeCell ref="B48:I48"/>
    <mergeCell ref="B75:I75"/>
    <mergeCell ref="H100:I100"/>
    <mergeCell ref="B97:J97"/>
  </mergeCells>
  <phoneticPr fontId="4" type="noConversion"/>
  <pageMargins left="0.56000000000000005" right="0.44999999999999996" top="0.53" bottom="1" header="0.5" footer="0.5"/>
  <pageSetup scale="41" orientation="portrait" horizontalDpi="300" verticalDpi="300" r:id="rId1"/>
  <headerFooter alignWithMargins="0"/>
  <ignoredErrors>
    <ignoredError sqref="I132:I133 I120:I122 I114:I117 I107 I78 I9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71" r:id="rId4" name="Button 23">
              <controlPr defaultSize="0" print="0" autoFill="0" autoPict="0" macro="[0]!PrintOilSeedCrushing">
                <anchor moveWithCells="1" sizeWithCells="1">
                  <from>
                    <xdr:col>9</xdr:col>
                    <xdr:colOff>190500</xdr:colOff>
                    <xdr:row>1</xdr:row>
                    <xdr:rowOff>0</xdr:rowOff>
                  </from>
                  <to>
                    <xdr:col>13</xdr:col>
                    <xdr:colOff>198120</xdr:colOff>
                    <xdr:row>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N156"/>
  <sheetViews>
    <sheetView showGridLines="0" zoomScaleNormal="100" workbookViewId="0">
      <selection activeCell="D157" sqref="D157"/>
    </sheetView>
  </sheetViews>
  <sheetFormatPr defaultRowHeight="13.2" x14ac:dyDescent="0.25"/>
  <cols>
    <col min="1" max="1" width="5.6640625" customWidth="1"/>
    <col min="2" max="2" width="12.44140625" customWidth="1"/>
    <col min="3" max="3" width="13.5546875" customWidth="1"/>
    <col min="4" max="5" width="14.44140625" customWidth="1"/>
    <col min="6" max="7" width="12.88671875" customWidth="1"/>
    <col min="8" max="8" width="8.44140625" customWidth="1"/>
    <col min="9" max="9" width="10.44140625" bestFit="1" customWidth="1"/>
    <col min="10" max="11" width="9.33203125" bestFit="1" customWidth="1"/>
    <col min="12" max="12" width="10.44140625" bestFit="1" customWidth="1"/>
    <col min="13" max="13" width="8" bestFit="1" customWidth="1"/>
    <col min="14" max="14" width="14.109375" bestFit="1" customWidth="1"/>
  </cols>
  <sheetData>
    <row r="1" spans="1:9" ht="17.399999999999999" x14ac:dyDescent="0.3">
      <c r="B1" s="8" t="s">
        <v>83</v>
      </c>
      <c r="C1" s="8"/>
      <c r="D1" s="8"/>
      <c r="E1" s="8"/>
    </row>
    <row r="2" spans="1:9" x14ac:dyDescent="0.25">
      <c r="B2" t="s">
        <v>141</v>
      </c>
    </row>
    <row r="4" spans="1:9" x14ac:dyDescent="0.25">
      <c r="F4" s="239" t="s">
        <v>82</v>
      </c>
      <c r="G4" s="240"/>
    </row>
    <row r="5" spans="1:9" x14ac:dyDescent="0.25">
      <c r="B5" s="16"/>
      <c r="C5" s="16"/>
      <c r="D5" s="16"/>
      <c r="E5" s="16"/>
      <c r="F5" s="31" t="s">
        <v>139</v>
      </c>
      <c r="G5" s="31" t="s">
        <v>140</v>
      </c>
    </row>
    <row r="6" spans="1:9" x14ac:dyDescent="0.25">
      <c r="C6" s="41"/>
      <c r="D6" s="41"/>
      <c r="E6" s="42" t="s">
        <v>5</v>
      </c>
      <c r="F6" s="192">
        <v>1</v>
      </c>
      <c r="G6" s="17">
        <f>+F6/$F$9</f>
        <v>0.86580086580086579</v>
      </c>
    </row>
    <row r="7" spans="1:9" x14ac:dyDescent="0.25">
      <c r="C7" s="41"/>
      <c r="D7" s="41"/>
      <c r="E7" s="42" t="s">
        <v>6</v>
      </c>
      <c r="F7" s="192">
        <v>0.18</v>
      </c>
      <c r="G7" s="17">
        <f>+F7/$F$9</f>
        <v>0.15584415584415584</v>
      </c>
    </row>
    <row r="8" spans="1:9" x14ac:dyDescent="0.25">
      <c r="C8" s="41"/>
      <c r="D8" s="41"/>
      <c r="E8" s="42" t="s">
        <v>7</v>
      </c>
      <c r="F8" s="192">
        <v>5.0000000000000001E-3</v>
      </c>
      <c r="G8" s="17">
        <f>+F8/$F$9</f>
        <v>4.329004329004329E-3</v>
      </c>
    </row>
    <row r="9" spans="1:9" ht="12.75" customHeight="1" x14ac:dyDescent="0.25">
      <c r="B9" s="40"/>
      <c r="C9" s="40"/>
      <c r="D9" s="40"/>
      <c r="E9" s="40"/>
      <c r="F9" s="63">
        <v>1.155</v>
      </c>
      <c r="G9" s="17">
        <f>+F9/$F$9</f>
        <v>1</v>
      </c>
    </row>
    <row r="10" spans="1:9" ht="12.75" customHeight="1" x14ac:dyDescent="0.25"/>
    <row r="11" spans="1:9" ht="14.25" customHeight="1" x14ac:dyDescent="0.25">
      <c r="F11" s="61" t="s">
        <v>34</v>
      </c>
      <c r="G11" s="61" t="s">
        <v>35</v>
      </c>
      <c r="I11" s="67" t="s">
        <v>217</v>
      </c>
    </row>
    <row r="12" spans="1:9" ht="14.25" customHeight="1" x14ac:dyDescent="0.25">
      <c r="A12" s="79" t="s">
        <v>84</v>
      </c>
      <c r="B12" s="30" t="s">
        <v>146</v>
      </c>
      <c r="C12" s="30"/>
      <c r="D12" s="30"/>
      <c r="E12" s="30"/>
      <c r="F12" s="212">
        <v>40</v>
      </c>
      <c r="G12" s="212">
        <v>80</v>
      </c>
      <c r="H12" s="19"/>
    </row>
    <row r="13" spans="1:9" ht="14.25" customHeight="1" x14ac:dyDescent="0.25">
      <c r="A13" s="29" t="s">
        <v>84</v>
      </c>
      <c r="B13" t="s">
        <v>238</v>
      </c>
      <c r="C13" s="1"/>
      <c r="D13" s="1"/>
      <c r="E13" s="1"/>
      <c r="F13" s="186">
        <v>50</v>
      </c>
      <c r="G13" s="186">
        <v>50</v>
      </c>
      <c r="H13" s="19"/>
    </row>
    <row r="14" spans="1:9" ht="14.25" customHeight="1" x14ac:dyDescent="0.25">
      <c r="A14" s="29" t="s">
        <v>84</v>
      </c>
      <c r="B14" t="s">
        <v>237</v>
      </c>
      <c r="D14" s="40"/>
      <c r="F14" s="181">
        <v>1.25</v>
      </c>
      <c r="G14" s="181">
        <v>1.25</v>
      </c>
      <c r="H14" s="19"/>
    </row>
    <row r="15" spans="1:9" x14ac:dyDescent="0.25">
      <c r="B15" s="16" t="s">
        <v>314</v>
      </c>
      <c r="C15" s="16"/>
      <c r="D15" s="16"/>
      <c r="E15" s="16"/>
      <c r="F15" s="60">
        <f>+'Oilseed Crushing'!H35+F13</f>
        <v>6870.8</v>
      </c>
      <c r="G15" s="60">
        <f>+'Oilseed Crushing'!I35+G13</f>
        <v>7249.7333333333336</v>
      </c>
    </row>
    <row r="16" spans="1:9" x14ac:dyDescent="0.25">
      <c r="B16" s="14" t="s">
        <v>120</v>
      </c>
      <c r="C16" s="16"/>
      <c r="D16" s="16"/>
      <c r="E16" s="16"/>
      <c r="F16" s="60">
        <f>+F15/F12</f>
        <v>171.77</v>
      </c>
      <c r="G16" s="60">
        <f>+G15/G12</f>
        <v>90.62166666666667</v>
      </c>
    </row>
    <row r="17" spans="1:14" x14ac:dyDescent="0.25">
      <c r="B17" s="16" t="s">
        <v>145</v>
      </c>
      <c r="C17" s="16"/>
      <c r="D17" s="16"/>
      <c r="E17" s="16"/>
      <c r="F17" s="60">
        <f>+F15*F7</f>
        <v>1236.7439999999999</v>
      </c>
      <c r="G17" s="60">
        <f>+G15*F7</f>
        <v>1304.952</v>
      </c>
    </row>
    <row r="18" spans="1:14" ht="12.75" customHeight="1" x14ac:dyDescent="0.25"/>
    <row r="19" spans="1:14" x14ac:dyDescent="0.25">
      <c r="B19" s="1" t="s">
        <v>30</v>
      </c>
      <c r="C19" s="1"/>
      <c r="D19" s="1"/>
      <c r="E19" s="1"/>
      <c r="F19" s="3"/>
      <c r="G19" s="3"/>
    </row>
    <row r="20" spans="1:14" x14ac:dyDescent="0.25">
      <c r="B20" s="16" t="s">
        <v>239</v>
      </c>
      <c r="C20" s="16"/>
      <c r="D20" s="16"/>
      <c r="E20" s="16"/>
      <c r="F20" s="62">
        <f>+'Oilseed Crushing'!H133</f>
        <v>3.2344332324197036</v>
      </c>
      <c r="G20" s="62">
        <f>+'Oilseed Crushing'!I133</f>
        <v>3.0489869100825007</v>
      </c>
      <c r="L20" s="5"/>
    </row>
    <row r="21" spans="1:14" x14ac:dyDescent="0.25">
      <c r="A21" s="29" t="s">
        <v>84</v>
      </c>
      <c r="B21" s="14" t="s">
        <v>240</v>
      </c>
      <c r="C21" s="16"/>
      <c r="D21" s="16"/>
      <c r="E21" s="16"/>
      <c r="F21" s="62">
        <f>+('Oilseed Crushing'!H102*'Biodiesel Production'!F20+'Biodiesel Production'!F14*'Biodiesel Production'!F13)/'Biodiesel Production'!F15</f>
        <v>3.2199921685521793</v>
      </c>
      <c r="G21" s="62">
        <f>+('Oilseed Crushing'!I102*'Biodiesel Production'!G20+'Biodiesel Production'!G14*'Biodiesel Production'!G13)/'Biodiesel Production'!G15</f>
        <v>3.0365796474469842</v>
      </c>
      <c r="L21" s="5"/>
    </row>
    <row r="22" spans="1:14" x14ac:dyDescent="0.25">
      <c r="B22" s="16" t="s">
        <v>9</v>
      </c>
      <c r="C22" s="16"/>
      <c r="D22" s="16"/>
      <c r="E22" s="16"/>
      <c r="F22" s="181">
        <v>5.25</v>
      </c>
      <c r="G22" s="62">
        <f>F22</f>
        <v>5.25</v>
      </c>
      <c r="L22" s="5"/>
    </row>
    <row r="23" spans="1:14" x14ac:dyDescent="0.25">
      <c r="A23" s="29" t="s">
        <v>84</v>
      </c>
      <c r="B23" s="16" t="s">
        <v>10</v>
      </c>
      <c r="C23" s="16"/>
      <c r="D23" s="16"/>
      <c r="E23" s="16"/>
      <c r="F23" s="181">
        <v>1.85</v>
      </c>
      <c r="G23" s="62">
        <f>F23</f>
        <v>1.85</v>
      </c>
      <c r="L23" s="5"/>
    </row>
    <row r="24" spans="1:14" ht="12.75" customHeight="1" x14ac:dyDescent="0.25"/>
    <row r="25" spans="1:14" ht="12.75" customHeight="1" x14ac:dyDescent="0.25">
      <c r="J25" s="16"/>
      <c r="K25" s="17"/>
    </row>
    <row r="26" spans="1:14" x14ac:dyDescent="0.25">
      <c r="B26" s="241" t="s">
        <v>249</v>
      </c>
      <c r="C26" s="242"/>
      <c r="D26" s="242"/>
      <c r="E26" s="242"/>
      <c r="F26" s="242"/>
      <c r="G26" s="243"/>
      <c r="H26" s="45"/>
      <c r="I26" s="45"/>
    </row>
    <row r="27" spans="1:14" x14ac:dyDescent="0.25">
      <c r="B27" s="46" t="s">
        <v>1</v>
      </c>
      <c r="C27" s="6"/>
      <c r="D27" s="6"/>
      <c r="E27" s="6"/>
      <c r="F27" s="43" t="s">
        <v>11</v>
      </c>
      <c r="G27" s="43" t="s">
        <v>11</v>
      </c>
    </row>
    <row r="28" spans="1:14" x14ac:dyDescent="0.25">
      <c r="A28" s="29" t="s">
        <v>84</v>
      </c>
      <c r="B28" s="16" t="s">
        <v>15</v>
      </c>
      <c r="C28" s="16"/>
      <c r="D28" s="16"/>
      <c r="E28" s="16"/>
      <c r="F28" s="181">
        <v>0</v>
      </c>
      <c r="G28" s="181">
        <v>0</v>
      </c>
      <c r="H28" s="19"/>
      <c r="I28" s="19"/>
      <c r="J28" s="19"/>
      <c r="K28" s="19"/>
      <c r="L28" s="19"/>
      <c r="M28" s="19"/>
      <c r="N28" s="19"/>
    </row>
    <row r="29" spans="1:14" x14ac:dyDescent="0.25">
      <c r="A29" s="29" t="s">
        <v>84</v>
      </c>
      <c r="B29" s="16" t="s">
        <v>16</v>
      </c>
      <c r="C29" s="16"/>
      <c r="D29" s="16"/>
      <c r="E29" s="16"/>
      <c r="F29" s="181">
        <v>35</v>
      </c>
      <c r="G29" s="196">
        <v>35</v>
      </c>
      <c r="H29" s="19"/>
      <c r="I29" s="19"/>
      <c r="J29" s="19"/>
      <c r="K29" s="19"/>
      <c r="L29" s="19"/>
      <c r="M29" s="19"/>
      <c r="N29" s="19"/>
    </row>
    <row r="30" spans="1:14" ht="12.75" customHeight="1" x14ac:dyDescent="0.25">
      <c r="A30" s="29" t="s">
        <v>84</v>
      </c>
      <c r="B30" s="16" t="s">
        <v>17</v>
      </c>
      <c r="C30" s="16"/>
      <c r="D30" s="16"/>
      <c r="E30" s="16"/>
      <c r="F30" s="181">
        <v>40</v>
      </c>
      <c r="G30" s="181">
        <v>40</v>
      </c>
      <c r="H30" s="26"/>
      <c r="I30" s="26"/>
      <c r="J30" s="26"/>
      <c r="K30" s="26"/>
      <c r="L30" s="26"/>
      <c r="M30" s="26"/>
      <c r="N30" s="19"/>
    </row>
    <row r="31" spans="1:14" x14ac:dyDescent="0.25">
      <c r="A31" s="29" t="s">
        <v>84</v>
      </c>
      <c r="B31" s="16" t="s">
        <v>20</v>
      </c>
      <c r="C31" s="16"/>
      <c r="D31" s="16"/>
      <c r="E31" s="16"/>
      <c r="F31" s="181">
        <v>50</v>
      </c>
      <c r="G31" s="196">
        <v>50</v>
      </c>
      <c r="H31" s="19"/>
      <c r="I31" s="19"/>
      <c r="J31" s="19"/>
      <c r="K31" s="19"/>
      <c r="L31" s="19"/>
      <c r="M31" s="19"/>
      <c r="N31" s="19"/>
    </row>
    <row r="32" spans="1:14" ht="12" customHeight="1" x14ac:dyDescent="0.25">
      <c r="A32" s="29" t="s">
        <v>84</v>
      </c>
      <c r="B32" s="16" t="s">
        <v>21</v>
      </c>
      <c r="C32" s="16"/>
      <c r="D32" s="16"/>
      <c r="E32" s="16"/>
      <c r="F32" s="181">
        <v>100</v>
      </c>
      <c r="G32" s="181">
        <v>100</v>
      </c>
      <c r="H32" s="19"/>
      <c r="I32" s="68" t="s">
        <v>218</v>
      </c>
      <c r="J32" s="19"/>
      <c r="K32" s="19"/>
      <c r="L32" s="19"/>
      <c r="M32" s="19"/>
      <c r="N32" s="19"/>
    </row>
    <row r="33" spans="1:14" x14ac:dyDescent="0.25">
      <c r="B33" s="193" t="s">
        <v>108</v>
      </c>
      <c r="C33" s="194"/>
      <c r="D33" s="194"/>
      <c r="E33" s="195"/>
      <c r="F33" s="181">
        <v>0</v>
      </c>
      <c r="G33" s="181">
        <v>0</v>
      </c>
    </row>
    <row r="34" spans="1:14" x14ac:dyDescent="0.25">
      <c r="B34" s="193" t="s">
        <v>106</v>
      </c>
      <c r="C34" s="194"/>
      <c r="D34" s="194"/>
      <c r="E34" s="195"/>
      <c r="F34" s="181">
        <v>0</v>
      </c>
      <c r="G34" s="181">
        <v>0</v>
      </c>
    </row>
    <row r="35" spans="1:14" ht="12" customHeight="1" x14ac:dyDescent="0.25">
      <c r="B35" s="193" t="s">
        <v>107</v>
      </c>
      <c r="C35" s="194"/>
      <c r="D35" s="194"/>
      <c r="E35" s="195"/>
      <c r="F35" s="181">
        <v>0</v>
      </c>
      <c r="G35" s="181">
        <v>0</v>
      </c>
    </row>
    <row r="36" spans="1:14" ht="15" customHeight="1" x14ac:dyDescent="0.25"/>
    <row r="37" spans="1:14" x14ac:dyDescent="0.25">
      <c r="B37" s="46" t="s">
        <v>12</v>
      </c>
      <c r="C37" s="6"/>
      <c r="D37" s="6"/>
      <c r="E37" s="6"/>
      <c r="F37" s="4"/>
      <c r="G37" s="4"/>
    </row>
    <row r="38" spans="1:14" x14ac:dyDescent="0.25">
      <c r="A38" s="29" t="s">
        <v>84</v>
      </c>
      <c r="B38" s="30" t="s">
        <v>19</v>
      </c>
      <c r="C38" s="30"/>
      <c r="D38" s="30"/>
      <c r="E38" s="30"/>
      <c r="F38" s="181">
        <f>32.99/2</f>
        <v>16.495000000000001</v>
      </c>
      <c r="G38" s="181">
        <v>16.5</v>
      </c>
      <c r="H38" s="19"/>
      <c r="I38" s="19"/>
      <c r="J38" s="19"/>
      <c r="K38" s="19"/>
      <c r="L38" s="19"/>
      <c r="M38" s="19"/>
      <c r="N38" s="19"/>
    </row>
    <row r="39" spans="1:14" x14ac:dyDescent="0.25">
      <c r="B39" s="16" t="s">
        <v>23</v>
      </c>
      <c r="C39" s="16"/>
      <c r="D39" s="16"/>
      <c r="E39" s="16"/>
      <c r="F39" s="181">
        <v>0</v>
      </c>
      <c r="G39" s="181">
        <v>0</v>
      </c>
    </row>
    <row r="40" spans="1:14" x14ac:dyDescent="0.25">
      <c r="B40" s="16" t="s">
        <v>209</v>
      </c>
      <c r="C40" s="16"/>
      <c r="D40" s="16"/>
      <c r="E40" s="16"/>
      <c r="F40" s="181">
        <v>0</v>
      </c>
      <c r="G40" s="181">
        <v>0</v>
      </c>
    </row>
    <row r="41" spans="1:14" x14ac:dyDescent="0.25">
      <c r="B41" s="16" t="s">
        <v>162</v>
      </c>
      <c r="C41" s="16"/>
      <c r="D41" s="16"/>
      <c r="E41" s="16"/>
      <c r="F41" s="181">
        <v>49</v>
      </c>
      <c r="G41" s="181">
        <v>49</v>
      </c>
      <c r="H41" s="19"/>
      <c r="I41" s="19"/>
      <c r="J41" s="19"/>
      <c r="K41" s="19"/>
      <c r="L41" s="19"/>
      <c r="M41" s="19"/>
      <c r="N41" s="19"/>
    </row>
    <row r="42" spans="1:14" x14ac:dyDescent="0.25">
      <c r="B42" s="16" t="s">
        <v>22</v>
      </c>
      <c r="C42" s="16"/>
      <c r="D42" s="16"/>
      <c r="E42" s="16"/>
      <c r="F42" s="181">
        <v>25</v>
      </c>
      <c r="G42" s="181">
        <v>25</v>
      </c>
    </row>
    <row r="43" spans="1:14" x14ac:dyDescent="0.25">
      <c r="B43" s="193" t="s">
        <v>108</v>
      </c>
      <c r="C43" s="194"/>
      <c r="D43" s="194"/>
      <c r="E43" s="195"/>
      <c r="F43" s="181">
        <v>0</v>
      </c>
      <c r="G43" s="181">
        <v>0</v>
      </c>
    </row>
    <row r="44" spans="1:14" ht="11.25" customHeight="1" x14ac:dyDescent="0.25"/>
    <row r="45" spans="1:14" x14ac:dyDescent="0.25">
      <c r="B45" s="46" t="s">
        <v>13</v>
      </c>
      <c r="C45" s="6"/>
      <c r="D45" s="6"/>
      <c r="E45" s="6"/>
      <c r="F45" s="4"/>
      <c r="G45" s="4"/>
    </row>
    <row r="46" spans="1:14" x14ac:dyDescent="0.25">
      <c r="A46" s="29" t="s">
        <v>84</v>
      </c>
      <c r="B46" s="30" t="s">
        <v>24</v>
      </c>
      <c r="C46" s="30"/>
      <c r="D46" s="30"/>
      <c r="E46" s="30"/>
      <c r="F46" s="182">
        <f>2195+300</f>
        <v>2495</v>
      </c>
      <c r="G46" s="182">
        <v>4745</v>
      </c>
    </row>
    <row r="47" spans="1:14" x14ac:dyDescent="0.25">
      <c r="A47" s="29" t="s">
        <v>84</v>
      </c>
      <c r="B47" s="16" t="s">
        <v>0</v>
      </c>
      <c r="C47" s="16"/>
      <c r="D47" s="16"/>
      <c r="E47" s="16"/>
      <c r="F47" s="181">
        <v>0</v>
      </c>
      <c r="G47" s="181">
        <v>0</v>
      </c>
    </row>
    <row r="48" spans="1:14" x14ac:dyDescent="0.25">
      <c r="A48" s="29" t="s">
        <v>84</v>
      </c>
      <c r="B48" s="16" t="s">
        <v>2</v>
      </c>
      <c r="C48" s="16"/>
      <c r="D48" s="16"/>
      <c r="E48" s="16"/>
      <c r="F48" s="181">
        <v>0</v>
      </c>
      <c r="G48" s="181">
        <v>0</v>
      </c>
    </row>
    <row r="49" spans="1:14" x14ac:dyDescent="0.25">
      <c r="A49" s="29" t="s">
        <v>84</v>
      </c>
      <c r="B49" s="16" t="s">
        <v>25</v>
      </c>
      <c r="C49" s="16"/>
      <c r="D49" s="16"/>
      <c r="E49" s="16"/>
      <c r="F49" s="181">
        <v>0</v>
      </c>
      <c r="G49" s="181">
        <v>0</v>
      </c>
    </row>
    <row r="50" spans="1:14" x14ac:dyDescent="0.25">
      <c r="A50" s="29" t="s">
        <v>84</v>
      </c>
      <c r="B50" s="16" t="s">
        <v>3</v>
      </c>
      <c r="C50" s="16"/>
      <c r="D50" s="16"/>
      <c r="E50" s="16"/>
      <c r="F50" s="181">
        <v>0</v>
      </c>
      <c r="G50" s="181">
        <v>0</v>
      </c>
      <c r="I50" s="48"/>
    </row>
    <row r="51" spans="1:14" x14ac:dyDescent="0.25">
      <c r="A51" s="29" t="s">
        <v>84</v>
      </c>
      <c r="B51" s="16" t="s">
        <v>4</v>
      </c>
      <c r="C51" s="16"/>
      <c r="D51" s="16"/>
      <c r="E51" s="16"/>
      <c r="F51" s="181">
        <v>325</v>
      </c>
      <c r="G51" s="181">
        <v>325</v>
      </c>
      <c r="I51" s="35"/>
    </row>
    <row r="52" spans="1:14" x14ac:dyDescent="0.25">
      <c r="B52" s="16" t="s">
        <v>22</v>
      </c>
      <c r="C52" s="16"/>
      <c r="D52" s="16"/>
      <c r="E52" s="16"/>
      <c r="F52" s="181">
        <v>35</v>
      </c>
      <c r="G52" s="181">
        <v>35</v>
      </c>
      <c r="I52" s="35"/>
    </row>
    <row r="53" spans="1:14" x14ac:dyDescent="0.25">
      <c r="A53" s="29" t="s">
        <v>84</v>
      </c>
      <c r="B53" s="193" t="s">
        <v>143</v>
      </c>
      <c r="C53" s="194"/>
      <c r="D53" s="194"/>
      <c r="E53" s="195"/>
      <c r="F53" s="181">
        <v>36</v>
      </c>
      <c r="G53" s="181">
        <v>80</v>
      </c>
      <c r="I53" s="35"/>
    </row>
    <row r="54" spans="1:14" x14ac:dyDescent="0.25">
      <c r="B54" s="193" t="s">
        <v>106</v>
      </c>
      <c r="C54" s="194"/>
      <c r="D54" s="194"/>
      <c r="E54" s="195"/>
      <c r="F54" s="181">
        <v>0</v>
      </c>
      <c r="G54" s="181">
        <v>0</v>
      </c>
      <c r="I54" s="35"/>
    </row>
    <row r="55" spans="1:14" x14ac:dyDescent="0.25">
      <c r="B55" s="193" t="s">
        <v>107</v>
      </c>
      <c r="C55" s="194"/>
      <c r="D55" s="194"/>
      <c r="E55" s="195"/>
      <c r="F55" s="181">
        <v>0</v>
      </c>
      <c r="G55" s="181">
        <v>0</v>
      </c>
      <c r="I55" s="35"/>
    </row>
    <row r="56" spans="1:14" ht="14.25" customHeight="1" x14ac:dyDescent="0.25">
      <c r="I56" s="35"/>
    </row>
    <row r="57" spans="1:14" x14ac:dyDescent="0.25">
      <c r="B57" s="46" t="s">
        <v>14</v>
      </c>
      <c r="C57" s="6"/>
      <c r="D57" s="6"/>
      <c r="E57" s="6"/>
      <c r="F57" s="4"/>
      <c r="G57" s="4"/>
      <c r="I57" s="35"/>
    </row>
    <row r="58" spans="1:14" x14ac:dyDescent="0.25">
      <c r="B58" s="16" t="s">
        <v>163</v>
      </c>
      <c r="C58" s="16"/>
      <c r="D58" s="16"/>
      <c r="E58" s="16"/>
      <c r="F58" s="181">
        <v>50</v>
      </c>
      <c r="G58" s="181">
        <v>200</v>
      </c>
      <c r="I58" s="35"/>
    </row>
    <row r="59" spans="1:14" x14ac:dyDescent="0.25">
      <c r="B59" s="16" t="s">
        <v>210</v>
      </c>
      <c r="C59" s="16"/>
      <c r="D59" s="16"/>
      <c r="E59" s="16"/>
      <c r="F59" s="181">
        <v>50</v>
      </c>
      <c r="G59" s="181">
        <v>100</v>
      </c>
      <c r="I59" s="35"/>
    </row>
    <row r="60" spans="1:14" x14ac:dyDescent="0.25">
      <c r="A60" s="29" t="s">
        <v>84</v>
      </c>
      <c r="B60" s="16" t="s">
        <v>29</v>
      </c>
      <c r="C60" s="16"/>
      <c r="D60" s="16"/>
      <c r="E60" s="16"/>
      <c r="F60" s="181">
        <v>149</v>
      </c>
      <c r="G60" s="181">
        <v>149</v>
      </c>
      <c r="H60" s="19"/>
      <c r="I60" s="19"/>
      <c r="J60" s="19"/>
      <c r="K60" s="19"/>
      <c r="L60" s="19"/>
      <c r="M60" s="19"/>
      <c r="N60" s="19"/>
    </row>
    <row r="61" spans="1:14" ht="13.8" thickBot="1" x14ac:dyDescent="0.3">
      <c r="B61" s="193" t="s">
        <v>142</v>
      </c>
      <c r="C61" s="194"/>
      <c r="D61" s="194"/>
      <c r="E61" s="195"/>
      <c r="F61" s="197">
        <v>0</v>
      </c>
      <c r="G61" s="197">
        <v>0</v>
      </c>
    </row>
    <row r="62" spans="1:14" ht="13.8" thickTop="1" x14ac:dyDescent="0.25">
      <c r="B62" s="12" t="s">
        <v>150</v>
      </c>
      <c r="C62" s="16"/>
      <c r="D62" s="16"/>
      <c r="E62" s="16"/>
      <c r="F62" s="39">
        <f>SUM(F28:F61)</f>
        <v>3455.4949999999999</v>
      </c>
      <c r="G62" s="39">
        <f>SUM(G28:G61)</f>
        <v>5949.5</v>
      </c>
      <c r="H62" s="2"/>
      <c r="I62" s="3"/>
      <c r="J62" s="3"/>
      <c r="K62" s="3"/>
      <c r="L62" s="3"/>
    </row>
    <row r="63" spans="1:14" x14ac:dyDescent="0.25">
      <c r="B63" s="12"/>
      <c r="C63" s="16"/>
      <c r="D63" s="16"/>
      <c r="E63" s="16"/>
      <c r="F63" s="33"/>
      <c r="G63" s="33"/>
      <c r="H63" s="2"/>
      <c r="I63" s="3"/>
      <c r="J63" s="3"/>
      <c r="K63" s="3"/>
      <c r="L63" s="3"/>
    </row>
    <row r="64" spans="1:14" x14ac:dyDescent="0.25">
      <c r="A64" s="29" t="s">
        <v>84</v>
      </c>
      <c r="B64" s="16" t="s">
        <v>8</v>
      </c>
      <c r="C64" s="16"/>
      <c r="D64" s="16"/>
      <c r="E64" s="16"/>
      <c r="F64" s="47">
        <f>+'Oilseed Crushing'!H63</f>
        <v>7.4999999999999997E-2</v>
      </c>
      <c r="G64" s="47">
        <f>+'Oilseed Crushing'!I63</f>
        <v>7.4999999999999997E-2</v>
      </c>
      <c r="H64" s="2"/>
      <c r="I64" s="3"/>
      <c r="J64" s="3"/>
      <c r="K64" s="3"/>
      <c r="L64" s="3"/>
    </row>
    <row r="65" spans="1:14" x14ac:dyDescent="0.25">
      <c r="B65" s="16" t="s">
        <v>26</v>
      </c>
      <c r="C65" s="16"/>
      <c r="D65" s="16"/>
      <c r="E65" s="16"/>
      <c r="F65" s="11">
        <f>+'Oilseed Crushing'!H64</f>
        <v>5</v>
      </c>
      <c r="G65" s="11">
        <f>+'Oilseed Crushing'!I64</f>
        <v>5</v>
      </c>
      <c r="H65" s="55"/>
      <c r="I65" s="3"/>
      <c r="J65" s="3"/>
      <c r="K65" s="3"/>
      <c r="L65" s="3"/>
    </row>
    <row r="66" spans="1:14" x14ac:dyDescent="0.25">
      <c r="B66" s="14" t="s">
        <v>96</v>
      </c>
      <c r="C66" s="16"/>
      <c r="D66" s="16"/>
      <c r="E66" s="16"/>
      <c r="F66" s="39">
        <f>-PPMT(F64,1,F65,F62)</f>
        <v>594.91432148842307</v>
      </c>
      <c r="G66" s="39">
        <f>-PPMT(G64,1,G65,G62)</f>
        <v>1024.2939884720925</v>
      </c>
      <c r="I66" s="3"/>
      <c r="J66" s="3"/>
      <c r="K66" s="3"/>
      <c r="L66" s="3"/>
    </row>
    <row r="67" spans="1:14" ht="13.8" thickBot="1" x14ac:dyDescent="0.3">
      <c r="B67" s="14" t="s">
        <v>97</v>
      </c>
      <c r="C67" s="14"/>
      <c r="D67" s="14"/>
      <c r="E67" s="14"/>
      <c r="F67" s="53">
        <f>-IPMT(F64,1,F65,F62)</f>
        <v>259.162125</v>
      </c>
      <c r="G67" s="53">
        <f>-IPMT(G64,1,G65,G62)</f>
        <v>446.21249999999992</v>
      </c>
      <c r="I67" s="3"/>
      <c r="J67" s="3"/>
      <c r="K67" s="3"/>
      <c r="L67" s="3"/>
    </row>
    <row r="68" spans="1:14" ht="13.8" thickTop="1" x14ac:dyDescent="0.25">
      <c r="B68" s="16" t="s">
        <v>27</v>
      </c>
      <c r="C68" s="16"/>
      <c r="D68" s="16"/>
      <c r="E68" s="16"/>
      <c r="F68" s="39">
        <f>PMT(F64,F65,-F62,0)</f>
        <v>854.07644648842313</v>
      </c>
      <c r="G68" s="39">
        <f>PMT(G64,G65,-G62,0)</f>
        <v>1470.5064884720925</v>
      </c>
      <c r="I68" s="3"/>
      <c r="J68" s="3"/>
      <c r="K68" s="3"/>
      <c r="L68" s="3"/>
    </row>
    <row r="69" spans="1:14" x14ac:dyDescent="0.25">
      <c r="I69" s="3"/>
      <c r="J69" s="3"/>
      <c r="K69" s="3"/>
      <c r="L69" s="3"/>
    </row>
    <row r="70" spans="1:14" x14ac:dyDescent="0.25">
      <c r="B70" s="14" t="s">
        <v>148</v>
      </c>
      <c r="C70" s="14"/>
      <c r="D70" s="14"/>
      <c r="E70" s="14"/>
      <c r="F70" s="39">
        <f>F62/7</f>
        <v>493.64214285714286</v>
      </c>
      <c r="G70" s="39">
        <f>G62/7</f>
        <v>849.92857142857144</v>
      </c>
      <c r="I70" s="3"/>
      <c r="J70" s="3"/>
      <c r="K70" s="3"/>
      <c r="L70" s="3"/>
    </row>
    <row r="71" spans="1:14" x14ac:dyDescent="0.25">
      <c r="B71" s="14"/>
      <c r="C71" s="14"/>
      <c r="D71" s="14"/>
      <c r="E71" s="14"/>
      <c r="F71" s="39"/>
      <c r="G71" s="39"/>
      <c r="I71" s="3"/>
      <c r="J71" s="3"/>
      <c r="K71" s="3"/>
      <c r="L71" s="3"/>
    </row>
    <row r="72" spans="1:14" x14ac:dyDescent="0.25">
      <c r="B72" s="14" t="s">
        <v>113</v>
      </c>
      <c r="C72" s="14"/>
      <c r="D72" s="14"/>
      <c r="E72" s="14"/>
      <c r="F72" s="182">
        <v>0</v>
      </c>
      <c r="G72" s="182">
        <v>0</v>
      </c>
      <c r="I72" s="3"/>
      <c r="J72" s="3"/>
      <c r="K72" s="3"/>
      <c r="L72" s="3"/>
    </row>
    <row r="73" spans="1:14" x14ac:dyDescent="0.25">
      <c r="B73" s="38" t="s">
        <v>114</v>
      </c>
      <c r="C73" s="38"/>
      <c r="D73" s="38"/>
      <c r="E73" s="49"/>
      <c r="F73" s="182">
        <v>0</v>
      </c>
      <c r="G73" s="182">
        <v>0</v>
      </c>
      <c r="I73" s="3"/>
      <c r="J73" s="3"/>
      <c r="K73" s="3"/>
      <c r="L73" s="3"/>
    </row>
    <row r="74" spans="1:14" x14ac:dyDescent="0.25">
      <c r="B74" s="14" t="s">
        <v>305</v>
      </c>
      <c r="C74" s="14"/>
      <c r="D74" s="14"/>
      <c r="E74" s="14"/>
      <c r="F74" s="39">
        <f>+F72+F73</f>
        <v>0</v>
      </c>
      <c r="G74" s="39">
        <f>+G72+G73</f>
        <v>0</v>
      </c>
      <c r="I74" s="3"/>
      <c r="J74" s="3"/>
      <c r="K74" s="3"/>
      <c r="L74" s="3"/>
    </row>
    <row r="75" spans="1:14" ht="12.75" customHeight="1" x14ac:dyDescent="0.25"/>
    <row r="76" spans="1:14" x14ac:dyDescent="0.25">
      <c r="B76" s="241" t="s">
        <v>250</v>
      </c>
      <c r="C76" s="242"/>
      <c r="D76" s="242"/>
      <c r="E76" s="242"/>
      <c r="F76" s="242"/>
      <c r="G76" s="243"/>
      <c r="H76" s="2"/>
    </row>
    <row r="77" spans="1:14" x14ac:dyDescent="0.25">
      <c r="A77" s="223"/>
      <c r="B77" t="s">
        <v>238</v>
      </c>
      <c r="C77" s="45"/>
      <c r="D77" s="45"/>
      <c r="E77" s="45"/>
      <c r="F77" s="221">
        <f>+F13</f>
        <v>50</v>
      </c>
      <c r="G77" s="221">
        <f>+G13</f>
        <v>50</v>
      </c>
      <c r="H77" s="2"/>
    </row>
    <row r="78" spans="1:14" x14ac:dyDescent="0.25">
      <c r="A78" s="223"/>
      <c r="B78" t="s">
        <v>237</v>
      </c>
      <c r="C78" s="45"/>
      <c r="D78" s="45"/>
      <c r="E78" s="45"/>
      <c r="F78" s="222">
        <f>+F14</f>
        <v>1.25</v>
      </c>
      <c r="G78" s="222">
        <f>+G14</f>
        <v>1.25</v>
      </c>
      <c r="H78" s="2"/>
    </row>
    <row r="79" spans="1:14" x14ac:dyDescent="0.25">
      <c r="B79" t="s">
        <v>241</v>
      </c>
      <c r="D79" s="40"/>
      <c r="F79" s="39">
        <f>+F13*F14</f>
        <v>62.5</v>
      </c>
      <c r="G79" s="39">
        <f>+G13*G14</f>
        <v>62.5</v>
      </c>
      <c r="L79" s="5"/>
    </row>
    <row r="80" spans="1:14" x14ac:dyDescent="0.25">
      <c r="B80" s="16" t="s">
        <v>183</v>
      </c>
      <c r="C80" s="34"/>
      <c r="D80" s="3"/>
      <c r="E80" s="16"/>
      <c r="F80" s="39">
        <f>F22*(F15*$G$7/$G$6)</f>
        <v>6492.9060000000009</v>
      </c>
      <c r="G80" s="39">
        <f>G22*(G15*$G$7/$G$6)</f>
        <v>6850.9979999999996</v>
      </c>
      <c r="H80" s="19"/>
      <c r="I80" s="19"/>
      <c r="J80" s="19"/>
      <c r="K80" s="19"/>
      <c r="L80" s="19"/>
      <c r="M80" s="19"/>
      <c r="N80" s="19"/>
    </row>
    <row r="81" spans="1:14" x14ac:dyDescent="0.25">
      <c r="B81" s="14" t="s">
        <v>184</v>
      </c>
      <c r="C81" s="34"/>
      <c r="D81" s="3"/>
      <c r="E81" s="16"/>
      <c r="F81" s="39">
        <f>+F23*(F15*7.5*$G$8/$G$6)</f>
        <v>476.66174999999998</v>
      </c>
      <c r="G81" s="39">
        <f>+G23*(G15*7.5*$G$8/$G$6)</f>
        <v>502.95025000000004</v>
      </c>
      <c r="H81" s="19"/>
      <c r="I81" s="19"/>
      <c r="J81" s="19"/>
      <c r="K81" s="19"/>
      <c r="L81" s="19"/>
      <c r="M81" s="19"/>
      <c r="N81" s="19"/>
    </row>
    <row r="82" spans="1:14" x14ac:dyDescent="0.25">
      <c r="B82" s="16"/>
      <c r="C82" s="34"/>
      <c r="D82" s="3"/>
      <c r="E82" s="16"/>
      <c r="H82" s="19"/>
      <c r="I82" s="19"/>
      <c r="J82" s="19"/>
      <c r="K82" s="19"/>
      <c r="L82" s="19"/>
      <c r="M82" s="19"/>
      <c r="N82" s="19"/>
    </row>
    <row r="83" spans="1:14" x14ac:dyDescent="0.25">
      <c r="A83" s="29" t="s">
        <v>84</v>
      </c>
      <c r="B83" s="16" t="s">
        <v>180</v>
      </c>
      <c r="C83" s="34"/>
      <c r="D83" s="3"/>
      <c r="E83" s="16"/>
      <c r="F83" s="181">
        <v>6.5</v>
      </c>
      <c r="G83" s="181">
        <v>7.25</v>
      </c>
      <c r="H83" s="19"/>
      <c r="I83" s="19"/>
      <c r="J83" s="19"/>
      <c r="K83" s="19"/>
      <c r="L83" s="19"/>
      <c r="M83" s="19"/>
      <c r="N83" s="19"/>
    </row>
    <row r="84" spans="1:14" x14ac:dyDescent="0.25">
      <c r="B84" s="16" t="s">
        <v>181</v>
      </c>
      <c r="C84" s="34"/>
      <c r="D84" s="3"/>
      <c r="E84" s="16"/>
      <c r="F84" s="186">
        <v>400</v>
      </c>
      <c r="G84" s="186">
        <v>500</v>
      </c>
      <c r="H84" s="19"/>
      <c r="I84" s="19"/>
      <c r="J84" s="19"/>
      <c r="K84" s="19"/>
      <c r="L84" s="19"/>
      <c r="M84" s="19"/>
      <c r="N84" s="19"/>
    </row>
    <row r="85" spans="1:14" x14ac:dyDescent="0.25">
      <c r="B85" s="14" t="s">
        <v>188</v>
      </c>
      <c r="C85" s="34"/>
      <c r="D85" s="3"/>
      <c r="E85" s="16"/>
      <c r="F85" s="33">
        <f>F15/F84*F83</f>
        <v>111.65049999999999</v>
      </c>
      <c r="G85" s="33">
        <f>G15/G84*G83</f>
        <v>105.12113333333333</v>
      </c>
      <c r="H85" s="19"/>
      <c r="I85" s="19"/>
      <c r="J85" s="19"/>
      <c r="K85" s="19"/>
      <c r="L85" s="19"/>
      <c r="M85" s="19"/>
      <c r="N85" s="19"/>
    </row>
    <row r="86" spans="1:14" x14ac:dyDescent="0.25">
      <c r="B86" s="16"/>
      <c r="C86" s="34"/>
      <c r="D86" s="3"/>
      <c r="E86" s="16"/>
      <c r="H86" s="19"/>
      <c r="I86" s="19"/>
      <c r="J86" s="19"/>
      <c r="K86" s="19"/>
      <c r="L86" s="19"/>
      <c r="M86" s="19"/>
      <c r="N86" s="19"/>
    </row>
    <row r="87" spans="1:14" x14ac:dyDescent="0.25">
      <c r="B87" s="16" t="s">
        <v>18</v>
      </c>
      <c r="C87" s="16"/>
      <c r="D87" s="16"/>
      <c r="E87" s="16"/>
      <c r="H87" s="19"/>
    </row>
    <row r="88" spans="1:14" x14ac:dyDescent="0.25">
      <c r="A88" s="29" t="s">
        <v>84</v>
      </c>
      <c r="B88" s="16" t="s">
        <v>191</v>
      </c>
      <c r="C88" s="16"/>
      <c r="D88" s="16"/>
      <c r="E88" s="16"/>
      <c r="F88" s="181">
        <v>9.5</v>
      </c>
      <c r="G88" s="181">
        <v>9.5</v>
      </c>
      <c r="H88" s="19"/>
      <c r="I88" s="19"/>
      <c r="J88" s="19"/>
      <c r="K88" s="19"/>
      <c r="L88" s="19"/>
      <c r="M88" s="19"/>
      <c r="N88" s="19"/>
    </row>
    <row r="89" spans="1:14" x14ac:dyDescent="0.25">
      <c r="B89" s="14" t="s">
        <v>190</v>
      </c>
      <c r="C89" s="16"/>
      <c r="D89" s="16"/>
      <c r="E89" s="16"/>
      <c r="F89" s="186">
        <v>125</v>
      </c>
      <c r="G89" s="186">
        <v>125</v>
      </c>
      <c r="H89" s="19"/>
      <c r="I89" s="19"/>
      <c r="J89" s="19"/>
      <c r="K89" s="19"/>
      <c r="L89" s="19"/>
      <c r="M89" s="19"/>
      <c r="N89" s="19"/>
    </row>
    <row r="90" spans="1:14" x14ac:dyDescent="0.25">
      <c r="B90" s="14" t="s">
        <v>189</v>
      </c>
      <c r="C90" s="16"/>
      <c r="D90" s="16"/>
      <c r="E90" s="16"/>
      <c r="F90" s="33">
        <f>(2*F16)*(F88/F89)</f>
        <v>26.10904</v>
      </c>
      <c r="G90" s="33">
        <f>(2*G16)*(G88/G89)</f>
        <v>13.774493333333334</v>
      </c>
      <c r="H90" s="19"/>
      <c r="I90" s="19"/>
      <c r="J90" s="19"/>
      <c r="K90" s="19"/>
      <c r="L90" s="19"/>
      <c r="M90" s="19"/>
      <c r="N90" s="19"/>
    </row>
    <row r="91" spans="1:14" x14ac:dyDescent="0.25">
      <c r="B91" s="14" t="s">
        <v>169</v>
      </c>
      <c r="C91" s="16"/>
      <c r="D91" s="16"/>
      <c r="E91" s="16"/>
      <c r="H91" s="19"/>
      <c r="I91" s="19"/>
      <c r="J91" s="19"/>
      <c r="K91" s="19"/>
      <c r="L91" s="19"/>
      <c r="M91" s="19"/>
      <c r="N91" s="19"/>
    </row>
    <row r="92" spans="1:14" x14ac:dyDescent="0.25">
      <c r="A92" s="29" t="s">
        <v>84</v>
      </c>
      <c r="B92" s="16" t="s">
        <v>192</v>
      </c>
      <c r="C92" s="16"/>
      <c r="D92" s="16"/>
      <c r="E92" s="16"/>
      <c r="F92" s="181">
        <v>1.25</v>
      </c>
      <c r="G92" s="181">
        <v>1.25</v>
      </c>
      <c r="H92" s="19"/>
      <c r="I92" s="19"/>
      <c r="J92" s="19"/>
      <c r="K92" s="19"/>
      <c r="L92" s="19"/>
      <c r="M92" s="19"/>
      <c r="N92" s="19"/>
    </row>
    <row r="93" spans="1:14" x14ac:dyDescent="0.25">
      <c r="B93" s="14" t="s">
        <v>211</v>
      </c>
      <c r="C93" s="16"/>
      <c r="D93" s="16"/>
      <c r="E93" s="16"/>
      <c r="F93" s="33">
        <f>+F16/20*F92*3</f>
        <v>32.206874999999997</v>
      </c>
      <c r="G93" s="33">
        <f>+G16/20*G92*3</f>
        <v>16.991562500000001</v>
      </c>
      <c r="H93" s="19"/>
      <c r="I93" s="19"/>
      <c r="J93" s="19"/>
      <c r="K93" s="19"/>
      <c r="L93" s="19"/>
      <c r="M93" s="19"/>
      <c r="N93" s="19"/>
    </row>
    <row r="94" spans="1:14" x14ac:dyDescent="0.25">
      <c r="A94" s="29" t="s">
        <v>84</v>
      </c>
      <c r="B94" s="16" t="s">
        <v>182</v>
      </c>
      <c r="C94" s="16"/>
      <c r="D94" s="16"/>
      <c r="E94" s="16"/>
      <c r="F94" s="181">
        <v>2.5</v>
      </c>
      <c r="G94" s="181">
        <v>2.5</v>
      </c>
      <c r="H94" s="19"/>
      <c r="I94" s="19"/>
      <c r="J94" s="19"/>
      <c r="K94" s="19"/>
      <c r="L94" s="19"/>
      <c r="M94" s="19"/>
      <c r="N94" s="19"/>
    </row>
    <row r="95" spans="1:14" x14ac:dyDescent="0.25">
      <c r="A95" s="29" t="s">
        <v>84</v>
      </c>
      <c r="B95" s="16" t="s">
        <v>59</v>
      </c>
      <c r="C95" s="16"/>
      <c r="D95" s="16"/>
      <c r="E95" s="16"/>
      <c r="F95" s="181">
        <v>0</v>
      </c>
      <c r="G95" s="181">
        <v>0</v>
      </c>
      <c r="H95" s="19"/>
      <c r="I95" s="19"/>
      <c r="J95" s="19"/>
      <c r="K95" s="19"/>
      <c r="L95" s="19"/>
      <c r="M95" s="19"/>
      <c r="N95" s="19"/>
    </row>
    <row r="96" spans="1:14" x14ac:dyDescent="0.25">
      <c r="B96" s="193" t="s">
        <v>185</v>
      </c>
      <c r="C96" s="194"/>
      <c r="D96" s="194"/>
      <c r="E96" s="195"/>
      <c r="F96" s="198">
        <v>0</v>
      </c>
      <c r="G96" s="198">
        <v>0</v>
      </c>
      <c r="H96" s="19"/>
      <c r="I96" s="19"/>
      <c r="J96" s="19"/>
      <c r="K96" s="19"/>
      <c r="L96" s="19"/>
      <c r="M96" s="19"/>
      <c r="N96" s="19"/>
    </row>
    <row r="97" spans="1:14" x14ac:dyDescent="0.25">
      <c r="B97" s="193" t="s">
        <v>186</v>
      </c>
      <c r="C97" s="194"/>
      <c r="D97" s="194"/>
      <c r="E97" s="195"/>
      <c r="F97" s="198">
        <v>0</v>
      </c>
      <c r="G97" s="198">
        <v>0</v>
      </c>
      <c r="H97" s="19"/>
      <c r="I97" s="19"/>
      <c r="J97" s="19"/>
      <c r="K97" s="19"/>
      <c r="L97" s="19"/>
      <c r="M97" s="19"/>
      <c r="N97" s="19"/>
    </row>
    <row r="98" spans="1:14" x14ac:dyDescent="0.25">
      <c r="B98" s="193" t="s">
        <v>187</v>
      </c>
      <c r="C98" s="194"/>
      <c r="D98" s="194"/>
      <c r="E98" s="195"/>
      <c r="F98" s="181">
        <v>0</v>
      </c>
      <c r="G98" s="181">
        <v>0</v>
      </c>
      <c r="H98" s="19"/>
      <c r="I98" s="19"/>
      <c r="J98" s="19"/>
      <c r="K98" s="19"/>
      <c r="L98" s="19"/>
      <c r="M98" s="19"/>
      <c r="N98" s="19"/>
    </row>
    <row r="99" spans="1:14" x14ac:dyDescent="0.25">
      <c r="B99" s="32"/>
      <c r="C99" s="16"/>
      <c r="D99" s="16"/>
      <c r="E99" s="16"/>
      <c r="H99" s="19"/>
      <c r="I99" s="19"/>
      <c r="J99" s="19"/>
      <c r="K99" s="19"/>
      <c r="L99" s="19"/>
      <c r="M99" s="19"/>
      <c r="N99" s="19"/>
    </row>
    <row r="100" spans="1:14" x14ac:dyDescent="0.25">
      <c r="A100" s="29" t="s">
        <v>84</v>
      </c>
      <c r="B100" s="16" t="s">
        <v>274</v>
      </c>
      <c r="C100" s="16"/>
      <c r="D100" s="16"/>
      <c r="E100" s="16"/>
      <c r="F100" s="33">
        <f>+'Oilseed Crushing'!H76</f>
        <v>8</v>
      </c>
      <c r="G100" s="33">
        <f>+F100</f>
        <v>8</v>
      </c>
    </row>
    <row r="101" spans="1:14" x14ac:dyDescent="0.25">
      <c r="B101" s="16" t="s">
        <v>193</v>
      </c>
      <c r="C101" s="16"/>
      <c r="D101" s="16"/>
      <c r="E101" s="16"/>
      <c r="F101" s="186">
        <v>3</v>
      </c>
      <c r="G101" s="186">
        <v>4</v>
      </c>
    </row>
    <row r="102" spans="1:14" x14ac:dyDescent="0.25">
      <c r="B102" s="16" t="s">
        <v>273</v>
      </c>
      <c r="C102" s="16"/>
      <c r="D102" s="16"/>
      <c r="E102" s="16"/>
      <c r="F102" s="199">
        <v>0</v>
      </c>
      <c r="G102" s="199">
        <v>0</v>
      </c>
    </row>
    <row r="103" spans="1:14" x14ac:dyDescent="0.25">
      <c r="B103" s="16" t="s">
        <v>275</v>
      </c>
      <c r="C103" s="16"/>
      <c r="D103" s="16"/>
      <c r="E103" s="16"/>
      <c r="F103" s="39">
        <f>+F100*F101</f>
        <v>24</v>
      </c>
      <c r="G103" s="39">
        <f>+G100*G101</f>
        <v>32</v>
      </c>
      <c r="H103" s="19"/>
      <c r="I103" s="19"/>
      <c r="J103" s="19"/>
      <c r="K103" s="19"/>
      <c r="L103" s="19"/>
      <c r="M103" s="19"/>
      <c r="N103" s="19"/>
    </row>
    <row r="104" spans="1:14" x14ac:dyDescent="0.25">
      <c r="A104" s="29" t="s">
        <v>84</v>
      </c>
      <c r="B104" s="14" t="s">
        <v>276</v>
      </c>
      <c r="C104" s="16"/>
      <c r="D104" s="16"/>
      <c r="E104" s="16"/>
      <c r="F104" s="39">
        <f>+F103*F16</f>
        <v>4122.4800000000005</v>
      </c>
      <c r="G104" s="39">
        <f>+G103*G16</f>
        <v>2899.8933333333334</v>
      </c>
      <c r="H104" s="19"/>
      <c r="I104" s="19"/>
      <c r="J104" s="19"/>
      <c r="K104" s="19"/>
      <c r="L104" s="19"/>
      <c r="M104" s="19"/>
      <c r="N104" s="19"/>
    </row>
    <row r="105" spans="1:14" x14ac:dyDescent="0.25">
      <c r="B105" s="14"/>
      <c r="C105" s="16"/>
      <c r="D105" s="16"/>
      <c r="E105" s="16"/>
      <c r="F105" s="39"/>
      <c r="G105" s="39"/>
      <c r="H105" s="19"/>
      <c r="I105" s="19"/>
      <c r="J105" s="19"/>
      <c r="K105" s="19"/>
      <c r="L105" s="19"/>
      <c r="M105" s="19"/>
      <c r="N105" s="19"/>
    </row>
    <row r="106" spans="1:14" x14ac:dyDescent="0.25">
      <c r="B106" s="70" t="s">
        <v>228</v>
      </c>
      <c r="C106" s="16"/>
      <c r="D106" s="16"/>
      <c r="E106" s="16"/>
      <c r="F106" s="39"/>
      <c r="G106" s="39"/>
      <c r="H106" s="19"/>
      <c r="I106" s="19"/>
      <c r="J106" s="19"/>
      <c r="K106" s="19"/>
      <c r="L106" s="19"/>
      <c r="M106" s="19"/>
      <c r="N106" s="19"/>
    </row>
    <row r="107" spans="1:14" x14ac:dyDescent="0.25">
      <c r="A107" s="29" t="s">
        <v>84</v>
      </c>
      <c r="B107" s="14" t="s">
        <v>233</v>
      </c>
      <c r="C107" s="16"/>
      <c r="D107" s="16"/>
      <c r="E107" s="16"/>
      <c r="F107" s="198">
        <v>5.49</v>
      </c>
      <c r="G107" s="198">
        <v>5.49</v>
      </c>
      <c r="H107" s="19"/>
      <c r="I107" s="19"/>
      <c r="J107" s="19"/>
      <c r="K107" s="19"/>
      <c r="L107" s="19"/>
      <c r="M107" s="19"/>
      <c r="N107" s="19"/>
    </row>
    <row r="108" spans="1:14" x14ac:dyDescent="0.25">
      <c r="A108" s="29" t="s">
        <v>84</v>
      </c>
      <c r="B108" s="14" t="s">
        <v>229</v>
      </c>
      <c r="C108" s="16"/>
      <c r="D108" s="16"/>
      <c r="E108" s="16"/>
      <c r="F108" s="186">
        <v>2</v>
      </c>
      <c r="G108" s="186">
        <v>2</v>
      </c>
      <c r="H108" s="19"/>
      <c r="I108" s="19"/>
      <c r="J108" s="19"/>
      <c r="K108" s="19"/>
      <c r="L108" s="19"/>
      <c r="M108" s="19"/>
      <c r="N108" s="19"/>
    </row>
    <row r="109" spans="1:14" x14ac:dyDescent="0.25">
      <c r="B109" s="14" t="s">
        <v>234</v>
      </c>
      <c r="C109" s="16"/>
      <c r="D109" s="16"/>
      <c r="E109" s="16"/>
      <c r="F109" s="33">
        <f>+F110*F15</f>
        <v>471.50865000000005</v>
      </c>
      <c r="G109" s="33">
        <f>+G110*G15</f>
        <v>248.75647500000002</v>
      </c>
      <c r="H109" s="19"/>
      <c r="I109" s="19"/>
      <c r="J109" s="19"/>
      <c r="K109" s="19"/>
      <c r="L109" s="19"/>
      <c r="M109" s="19"/>
      <c r="N109" s="19"/>
    </row>
    <row r="110" spans="1:14" x14ac:dyDescent="0.25">
      <c r="B110" s="14" t="s">
        <v>232</v>
      </c>
      <c r="C110" s="16"/>
      <c r="D110" s="16"/>
      <c r="E110" s="16"/>
      <c r="F110" s="33">
        <f>IF(F108=0,0,(F107/F108)/F12)</f>
        <v>6.8625000000000005E-2</v>
      </c>
      <c r="G110" s="33">
        <f>IF(G108=0,0,(G107/G108)/G12)</f>
        <v>3.4312500000000003E-2</v>
      </c>
      <c r="H110" s="19"/>
      <c r="I110" s="19"/>
      <c r="J110" s="19"/>
      <c r="K110" s="19"/>
      <c r="L110" s="19"/>
      <c r="M110" s="19"/>
      <c r="N110" s="19"/>
    </row>
    <row r="111" spans="1:14" ht="13.5" customHeight="1" x14ac:dyDescent="0.25">
      <c r="B111" s="14"/>
      <c r="C111" s="16"/>
      <c r="D111" s="16"/>
      <c r="E111" s="16"/>
      <c r="F111" s="39"/>
      <c r="G111" s="39"/>
      <c r="H111" s="19"/>
      <c r="I111" s="19"/>
      <c r="J111" s="19"/>
      <c r="K111" s="19"/>
      <c r="L111" s="19"/>
      <c r="M111" s="19"/>
      <c r="N111" s="19"/>
    </row>
    <row r="112" spans="1:14" x14ac:dyDescent="0.25">
      <c r="A112" s="29" t="s">
        <v>84</v>
      </c>
      <c r="B112" s="14" t="s">
        <v>230</v>
      </c>
      <c r="C112" s="16"/>
      <c r="D112" s="16"/>
      <c r="E112" s="16"/>
      <c r="F112" s="198">
        <v>800</v>
      </c>
      <c r="G112" s="198">
        <v>800</v>
      </c>
      <c r="H112" s="19"/>
      <c r="I112" s="19"/>
      <c r="J112" s="19"/>
      <c r="K112" s="19"/>
      <c r="L112" s="19"/>
      <c r="M112" s="19"/>
      <c r="N112" s="19"/>
    </row>
    <row r="113" spans="1:14" x14ac:dyDescent="0.25">
      <c r="A113" s="29" t="s">
        <v>84</v>
      </c>
      <c r="B113" s="14" t="s">
        <v>231</v>
      </c>
      <c r="C113" s="16"/>
      <c r="D113" s="16"/>
      <c r="E113" s="16"/>
      <c r="F113" s="186">
        <v>173</v>
      </c>
      <c r="G113" s="186">
        <v>91</v>
      </c>
      <c r="H113" s="19"/>
      <c r="I113" s="19"/>
      <c r="J113" s="19"/>
      <c r="K113" s="19"/>
      <c r="L113" s="19"/>
      <c r="M113" s="19"/>
      <c r="N113" s="19"/>
    </row>
    <row r="114" spans="1:14" x14ac:dyDescent="0.25">
      <c r="B114" s="14" t="s">
        <v>235</v>
      </c>
      <c r="C114" s="16"/>
      <c r="D114" s="16"/>
      <c r="E114" s="16"/>
      <c r="F114" s="33">
        <f>+F115*F15</f>
        <v>794.31213872832382</v>
      </c>
      <c r="G114" s="33">
        <f>+G115*G15</f>
        <v>796.67399267399276</v>
      </c>
      <c r="H114" s="19"/>
      <c r="I114" s="19"/>
      <c r="J114" s="19"/>
      <c r="K114" s="19"/>
      <c r="L114" s="19"/>
      <c r="M114" s="19"/>
      <c r="N114" s="19"/>
    </row>
    <row r="115" spans="1:14" x14ac:dyDescent="0.25">
      <c r="B115" s="14" t="s">
        <v>232</v>
      </c>
      <c r="C115" s="16"/>
      <c r="D115" s="16"/>
      <c r="E115" s="16"/>
      <c r="F115" s="33">
        <f>IF(F113=0,0,(F112/F113)/F12)</f>
        <v>0.11560693641618498</v>
      </c>
      <c r="G115" s="33">
        <f>IF(G113=0,0,(G112/G113)/G12)</f>
        <v>0.1098901098901099</v>
      </c>
      <c r="H115" s="19"/>
      <c r="I115" s="19"/>
      <c r="J115" s="19"/>
      <c r="K115" s="19"/>
      <c r="L115" s="19"/>
      <c r="M115" s="19"/>
      <c r="N115" s="19"/>
    </row>
    <row r="116" spans="1:14" x14ac:dyDescent="0.25">
      <c r="B116" s="32"/>
      <c r="C116" s="16"/>
      <c r="D116" s="16"/>
      <c r="E116" s="16"/>
      <c r="F116" s="35"/>
      <c r="G116" s="35"/>
      <c r="H116" s="19"/>
      <c r="I116" s="19"/>
      <c r="J116" s="19"/>
      <c r="K116" s="19"/>
      <c r="L116" s="19"/>
      <c r="M116" s="19"/>
      <c r="N116" s="19"/>
    </row>
    <row r="117" spans="1:14" x14ac:dyDescent="0.25">
      <c r="B117" s="36" t="s">
        <v>251</v>
      </c>
      <c r="C117" s="16"/>
      <c r="D117" s="16"/>
      <c r="E117" s="16"/>
      <c r="F117" s="39">
        <f>F79+F80+F81+F85+F90+F93+F94+F95+F96+F97+F98+F104+F109+F114</f>
        <v>12592.834953728325</v>
      </c>
      <c r="G117" s="39">
        <f>G79+G80+G81+G85+G90+G93+G94+G95+G96+G97+G98+G104+G109+G114</f>
        <v>11500.159240173991</v>
      </c>
      <c r="H117" s="213"/>
      <c r="I117" s="19"/>
      <c r="J117" s="19"/>
      <c r="K117" s="19"/>
      <c r="L117" s="19"/>
      <c r="M117" s="19"/>
      <c r="N117" s="19"/>
    </row>
    <row r="118" spans="1:14" x14ac:dyDescent="0.25">
      <c r="B118" s="36"/>
      <c r="C118" s="16"/>
      <c r="D118" s="16"/>
      <c r="E118" s="16"/>
      <c r="F118" s="39"/>
      <c r="G118" s="39"/>
      <c r="H118" s="59"/>
      <c r="I118" s="19"/>
      <c r="J118" s="19"/>
      <c r="K118" s="19"/>
      <c r="L118" s="19"/>
      <c r="M118" s="19"/>
      <c r="N118" s="19"/>
    </row>
    <row r="119" spans="1:14" x14ac:dyDescent="0.25">
      <c r="B119" s="241" t="s">
        <v>236</v>
      </c>
      <c r="C119" s="242"/>
      <c r="D119" s="242"/>
      <c r="E119" s="242"/>
      <c r="F119" s="242"/>
      <c r="G119" s="243"/>
      <c r="H119" s="2"/>
    </row>
    <row r="120" spans="1:14" x14ac:dyDescent="0.25">
      <c r="B120" s="1" t="s">
        <v>32</v>
      </c>
      <c r="C120" s="1"/>
      <c r="D120" s="1"/>
      <c r="E120" s="1"/>
    </row>
    <row r="121" spans="1:14" x14ac:dyDescent="0.25">
      <c r="A121" s="29" t="s">
        <v>84</v>
      </c>
      <c r="B121" s="16" t="s">
        <v>198</v>
      </c>
      <c r="C121" s="16"/>
      <c r="D121" s="16"/>
      <c r="E121" s="16"/>
      <c r="F121" s="181">
        <v>0</v>
      </c>
      <c r="G121" s="181">
        <v>0</v>
      </c>
      <c r="H121" s="19"/>
      <c r="I121" s="19"/>
      <c r="J121" s="19"/>
      <c r="K121" s="19"/>
      <c r="L121" s="19"/>
      <c r="M121" s="19"/>
      <c r="N121" s="19"/>
    </row>
    <row r="122" spans="1:14" x14ac:dyDescent="0.25">
      <c r="A122" s="29" t="s">
        <v>84</v>
      </c>
      <c r="B122" s="16" t="s">
        <v>199</v>
      </c>
      <c r="C122" s="16"/>
      <c r="D122" s="16"/>
      <c r="E122" s="16"/>
      <c r="F122" s="181">
        <v>0.1</v>
      </c>
      <c r="G122" s="181">
        <v>0.1</v>
      </c>
      <c r="H122" s="19"/>
      <c r="I122" s="19"/>
      <c r="J122" s="19"/>
      <c r="K122" s="19"/>
      <c r="L122" s="19"/>
      <c r="M122" s="19"/>
      <c r="N122" s="19"/>
    </row>
    <row r="123" spans="1:14" x14ac:dyDescent="0.25">
      <c r="B123" s="16" t="s">
        <v>200</v>
      </c>
      <c r="C123" s="16"/>
      <c r="D123" s="16"/>
      <c r="E123" s="16"/>
      <c r="F123" s="33">
        <f>+F121+F122</f>
        <v>0.1</v>
      </c>
      <c r="G123" s="33">
        <f>+G121+G122</f>
        <v>0.1</v>
      </c>
    </row>
    <row r="124" spans="1:14" x14ac:dyDescent="0.25">
      <c r="B124" s="16"/>
      <c r="C124" s="16"/>
      <c r="D124" s="16"/>
      <c r="E124" s="16"/>
      <c r="F124" s="33"/>
      <c r="G124" s="33"/>
    </row>
    <row r="125" spans="1:14" x14ac:dyDescent="0.25">
      <c r="A125" s="29" t="s">
        <v>84</v>
      </c>
      <c r="B125" s="16" t="s">
        <v>196</v>
      </c>
      <c r="C125" s="16"/>
      <c r="D125" s="16"/>
      <c r="E125" s="16"/>
      <c r="F125" s="181">
        <v>0</v>
      </c>
      <c r="G125" s="181">
        <v>0</v>
      </c>
      <c r="H125" s="19"/>
      <c r="I125" s="19"/>
      <c r="J125" s="19"/>
      <c r="K125" s="19"/>
      <c r="L125" s="19"/>
      <c r="M125" s="19"/>
      <c r="N125" s="19"/>
    </row>
    <row r="126" spans="1:14" x14ac:dyDescent="0.25">
      <c r="A126" s="29" t="s">
        <v>84</v>
      </c>
      <c r="B126" s="14" t="s">
        <v>197</v>
      </c>
      <c r="C126" s="16"/>
      <c r="D126" s="16"/>
      <c r="E126" s="16"/>
      <c r="F126" s="181">
        <v>0</v>
      </c>
      <c r="G126" s="181">
        <v>0</v>
      </c>
      <c r="H126" s="19"/>
      <c r="I126" s="19"/>
      <c r="J126" s="19"/>
      <c r="K126" s="19"/>
      <c r="L126" s="19"/>
      <c r="M126" s="19"/>
      <c r="N126" s="19"/>
    </row>
    <row r="127" spans="1:14" x14ac:dyDescent="0.25">
      <c r="B127" s="14" t="s">
        <v>202</v>
      </c>
      <c r="C127" s="16"/>
      <c r="D127" s="16"/>
      <c r="E127" s="16"/>
      <c r="F127" s="33">
        <f>+F126+F125</f>
        <v>0</v>
      </c>
      <c r="G127" s="33">
        <f>+G126+G125</f>
        <v>0</v>
      </c>
    </row>
    <row r="128" spans="1:14" x14ac:dyDescent="0.25">
      <c r="B128" s="14"/>
      <c r="C128" s="16"/>
      <c r="D128" s="16"/>
      <c r="E128" s="16"/>
      <c r="F128" s="33"/>
      <c r="G128" s="33"/>
    </row>
    <row r="129" spans="1:8" x14ac:dyDescent="0.25">
      <c r="B129" s="16" t="s">
        <v>201</v>
      </c>
      <c r="C129" s="16"/>
      <c r="D129" s="16"/>
      <c r="E129" s="16"/>
      <c r="F129" s="33">
        <f>+F127+F123*F15</f>
        <v>687.08</v>
      </c>
      <c r="G129" s="33">
        <f>+G127+G123*G15</f>
        <v>724.97333333333336</v>
      </c>
    </row>
    <row r="130" spans="1:8" x14ac:dyDescent="0.25">
      <c r="B130" s="14"/>
      <c r="C130" s="16"/>
      <c r="D130" s="16"/>
      <c r="E130" s="16"/>
      <c r="F130" s="33"/>
      <c r="G130" s="33"/>
    </row>
    <row r="131" spans="1:8" x14ac:dyDescent="0.25">
      <c r="A131" s="29" t="s">
        <v>84</v>
      </c>
      <c r="B131" s="16" t="s">
        <v>144</v>
      </c>
      <c r="C131" s="16"/>
      <c r="D131" s="16"/>
      <c r="E131" s="16"/>
      <c r="F131" s="181">
        <v>0.05</v>
      </c>
      <c r="G131" s="181">
        <v>0.05</v>
      </c>
    </row>
    <row r="132" spans="1:8" x14ac:dyDescent="0.25">
      <c r="B132" s="16" t="s">
        <v>57</v>
      </c>
      <c r="C132" s="16"/>
      <c r="D132" s="16"/>
      <c r="E132" s="16"/>
      <c r="F132" s="39">
        <f>+F131*F17</f>
        <v>61.837199999999996</v>
      </c>
      <c r="G132" s="39">
        <f>+G131*G17</f>
        <v>65.247600000000006</v>
      </c>
    </row>
    <row r="133" spans="1:8" x14ac:dyDescent="0.25">
      <c r="B133" s="16"/>
      <c r="C133" s="16"/>
      <c r="D133" s="16"/>
      <c r="E133" s="16"/>
      <c r="F133" s="39"/>
      <c r="G133" s="39"/>
    </row>
    <row r="134" spans="1:8" x14ac:dyDescent="0.25">
      <c r="B134" s="241" t="s">
        <v>36</v>
      </c>
      <c r="C134" s="242"/>
      <c r="D134" s="242"/>
      <c r="E134" s="242"/>
      <c r="F134" s="242"/>
      <c r="G134" s="243"/>
      <c r="H134" s="2"/>
    </row>
    <row r="135" spans="1:8" x14ac:dyDescent="0.25">
      <c r="A135" s="16"/>
      <c r="B135" s="244"/>
      <c r="C135" s="244"/>
      <c r="D135" s="244"/>
      <c r="E135" s="244"/>
      <c r="F135" s="245"/>
      <c r="G135" s="245"/>
    </row>
    <row r="136" spans="1:8" x14ac:dyDescent="0.25">
      <c r="A136" s="16"/>
      <c r="B136" s="209" t="s">
        <v>293</v>
      </c>
      <c r="C136" s="72"/>
      <c r="D136" s="72"/>
      <c r="E136" s="72"/>
      <c r="F136" s="210">
        <f>F21</f>
        <v>3.2199921685521793</v>
      </c>
      <c r="G136" s="210">
        <f>G21</f>
        <v>3.0365796474469842</v>
      </c>
    </row>
    <row r="137" spans="1:8" x14ac:dyDescent="0.25">
      <c r="A137" s="16"/>
      <c r="B137" s="209" t="s">
        <v>294</v>
      </c>
      <c r="C137" s="72"/>
      <c r="D137" s="72"/>
      <c r="E137" s="72"/>
      <c r="F137" s="211">
        <f>(F117+F74+F70+F67)/F15</f>
        <v>1.9423704985715591</v>
      </c>
      <c r="G137" s="211">
        <f>(G117+G74+G70+G67)/G15</f>
        <v>1.7650718617148071</v>
      </c>
    </row>
    <row r="138" spans="1:8" x14ac:dyDescent="0.25">
      <c r="A138" s="16"/>
      <c r="B138" s="209" t="s">
        <v>295</v>
      </c>
      <c r="C138" s="72"/>
      <c r="D138" s="72"/>
      <c r="E138" s="72"/>
      <c r="F138" s="210">
        <f>SUM(F136:F137)</f>
        <v>5.1623626671237384</v>
      </c>
      <c r="G138" s="210">
        <f>SUM(G136:G137)</f>
        <v>4.8016515091617915</v>
      </c>
    </row>
    <row r="139" spans="1:8" x14ac:dyDescent="0.25">
      <c r="A139" s="16"/>
      <c r="B139" s="209" t="s">
        <v>298</v>
      </c>
      <c r="C139" s="72"/>
      <c r="D139" s="72"/>
      <c r="E139" s="72"/>
      <c r="F139" s="211">
        <f>F123+F132/F15+F127/F15</f>
        <v>0.109</v>
      </c>
      <c r="G139" s="211">
        <f>G123+G132/G15+G127/G15</f>
        <v>0.10900000000000001</v>
      </c>
    </row>
    <row r="140" spans="1:8" x14ac:dyDescent="0.25">
      <c r="A140" s="16"/>
      <c r="B140" s="209" t="s">
        <v>296</v>
      </c>
      <c r="C140" s="72"/>
      <c r="D140" s="72"/>
      <c r="E140" s="72"/>
      <c r="F140" s="210">
        <f>F138-F139</f>
        <v>5.0533626671237384</v>
      </c>
      <c r="G140" s="210">
        <f>G138-G139</f>
        <v>4.6926515091617915</v>
      </c>
    </row>
    <row r="141" spans="1:8" x14ac:dyDescent="0.25">
      <c r="A141" s="29" t="s">
        <v>84</v>
      </c>
      <c r="B141" s="30" t="s">
        <v>55</v>
      </c>
      <c r="C141" s="30"/>
      <c r="D141" s="30"/>
      <c r="E141" s="30"/>
      <c r="F141" s="200">
        <v>0.24399999999999999</v>
      </c>
      <c r="G141" s="224">
        <f>+F141</f>
        <v>0.24399999999999999</v>
      </c>
    </row>
    <row r="142" spans="1:8" x14ac:dyDescent="0.25">
      <c r="A142" s="29" t="s">
        <v>84</v>
      </c>
      <c r="B142" s="14" t="s">
        <v>56</v>
      </c>
      <c r="C142" s="14"/>
      <c r="D142" s="14"/>
      <c r="E142" s="14"/>
      <c r="F142" s="200">
        <v>0.28499999999999998</v>
      </c>
      <c r="G142" s="225">
        <f>+F142</f>
        <v>0.28499999999999998</v>
      </c>
    </row>
    <row r="143" spans="1:8" x14ac:dyDescent="0.25">
      <c r="B143" s="36" t="s">
        <v>297</v>
      </c>
      <c r="C143" s="36"/>
      <c r="D143" s="36"/>
      <c r="E143" s="36"/>
      <c r="F143" s="13">
        <f>SUM(F140:F142)</f>
        <v>5.5823626671237383</v>
      </c>
      <c r="G143" s="13">
        <f>SUM(G140:G142)</f>
        <v>5.2216515091617914</v>
      </c>
    </row>
    <row r="144" spans="1:8" x14ac:dyDescent="0.25">
      <c r="A144" s="16"/>
      <c r="B144" s="209"/>
      <c r="C144" s="72"/>
      <c r="D144" s="72"/>
      <c r="E144" s="72"/>
      <c r="F144" s="210"/>
      <c r="G144" s="210"/>
    </row>
    <row r="145" spans="2:10" x14ac:dyDescent="0.25">
      <c r="B145" s="16" t="s">
        <v>306</v>
      </c>
      <c r="C145" s="16"/>
      <c r="D145" s="16"/>
      <c r="E145" s="16"/>
      <c r="F145" s="65">
        <f>(F70+F67+F74)/F15</f>
        <v>0.10956573730237276</v>
      </c>
      <c r="G145" s="65">
        <f>(G70+G67+G74)/G15</f>
        <v>0.17878465480503716</v>
      </c>
    </row>
    <row r="146" spans="2:10" x14ac:dyDescent="0.25">
      <c r="B146" s="16" t="s">
        <v>31</v>
      </c>
      <c r="C146" s="16"/>
      <c r="D146" s="16"/>
      <c r="E146" s="16"/>
      <c r="F146" s="50">
        <f>F117/F15+F21</f>
        <v>5.0527969298213655</v>
      </c>
      <c r="G146" s="50">
        <f>G117/G15+G21</f>
        <v>4.6228668543567544</v>
      </c>
      <c r="I146" s="3"/>
      <c r="J146" s="3"/>
    </row>
    <row r="147" spans="2:10" x14ac:dyDescent="0.25">
      <c r="B147" s="16" t="s">
        <v>285</v>
      </c>
      <c r="C147" s="16"/>
      <c r="D147" s="16"/>
      <c r="E147" s="16"/>
      <c r="F147" s="50">
        <f>+F145+F146</f>
        <v>5.1623626671237384</v>
      </c>
      <c r="G147" s="50">
        <f>+G145+G146</f>
        <v>4.8016515091617915</v>
      </c>
      <c r="I147" s="3"/>
      <c r="J147" s="3"/>
    </row>
    <row r="148" spans="2:10" x14ac:dyDescent="0.25">
      <c r="B148" s="16" t="s">
        <v>33</v>
      </c>
      <c r="C148" s="16"/>
      <c r="D148" s="16"/>
      <c r="E148" s="16"/>
      <c r="F148" s="50">
        <f>F123+(F127/F15)</f>
        <v>0.1</v>
      </c>
      <c r="G148" s="50">
        <f>G123+(G127/G15)</f>
        <v>0.1</v>
      </c>
    </row>
    <row r="149" spans="2:10" x14ac:dyDescent="0.25">
      <c r="B149" s="16" t="s">
        <v>203</v>
      </c>
      <c r="C149" s="16"/>
      <c r="D149" s="16"/>
      <c r="E149" s="16"/>
      <c r="F149" s="50">
        <f>+F132/F15</f>
        <v>8.9999999999999993E-3</v>
      </c>
      <c r="G149" s="50">
        <f>+G132/G15</f>
        <v>9.0000000000000011E-3</v>
      </c>
    </row>
    <row r="150" spans="2:10" x14ac:dyDescent="0.25">
      <c r="B150" s="12" t="s">
        <v>81</v>
      </c>
      <c r="C150" s="12"/>
      <c r="D150" s="12"/>
      <c r="E150" s="12"/>
      <c r="F150" s="51">
        <f>+F147-F148-F149</f>
        <v>5.0533626671237384</v>
      </c>
      <c r="G150" s="51">
        <f>+G147-G148-G149</f>
        <v>4.6926515091617915</v>
      </c>
    </row>
    <row r="151" spans="2:10" x14ac:dyDescent="0.25">
      <c r="B151" s="14"/>
      <c r="C151" s="14"/>
      <c r="D151" s="14"/>
      <c r="E151" s="14"/>
      <c r="F151" s="15"/>
      <c r="G151" s="15"/>
    </row>
    <row r="152" spans="2:10" x14ac:dyDescent="0.25">
      <c r="B152" s="44" t="s">
        <v>85</v>
      </c>
      <c r="C152" s="44"/>
      <c r="D152" s="44"/>
      <c r="E152" s="44"/>
      <c r="F152" s="181">
        <v>3.99</v>
      </c>
      <c r="G152" s="218">
        <f>+F152</f>
        <v>3.99</v>
      </c>
    </row>
    <row r="153" spans="2:10" x14ac:dyDescent="0.25">
      <c r="B153" s="14" t="s">
        <v>212</v>
      </c>
      <c r="C153" s="14"/>
      <c r="D153" s="14"/>
      <c r="E153" s="14"/>
      <c r="F153" s="52">
        <f>+F152*F15</f>
        <v>27414.492000000002</v>
      </c>
      <c r="G153" s="52">
        <f>+G152*G15</f>
        <v>28926.436000000002</v>
      </c>
    </row>
    <row r="154" spans="2:10" x14ac:dyDescent="0.25">
      <c r="F154" s="4"/>
    </row>
    <row r="155" spans="2:10" x14ac:dyDescent="0.25">
      <c r="B155" t="s">
        <v>307</v>
      </c>
      <c r="F155" s="4">
        <f>+F152-F143</f>
        <v>-1.5923626671237381</v>
      </c>
      <c r="G155" s="4">
        <f>+G152-G143</f>
        <v>-1.2316515091617912</v>
      </c>
    </row>
    <row r="156" spans="2:10" x14ac:dyDescent="0.25">
      <c r="F156" s="4"/>
    </row>
  </sheetData>
  <sheetProtection sheet="1" objects="1" scenarios="1" formatCells="0" formatColumns="0" formatRows="0"/>
  <mergeCells count="6">
    <mergeCell ref="F4:G4"/>
    <mergeCell ref="B26:G26"/>
    <mergeCell ref="B76:G76"/>
    <mergeCell ref="B135:G135"/>
    <mergeCell ref="B119:G119"/>
    <mergeCell ref="B134:G134"/>
  </mergeCells>
  <phoneticPr fontId="4" type="noConversion"/>
  <pageMargins left="0.75" right="0.75" top="0.68" bottom="0.77" header="0.5" footer="0.5"/>
  <pageSetup scale="35" orientation="portrait" horizontalDpi="300" verticalDpi="300" r:id="rId1"/>
  <headerFooter alignWithMargins="0"/>
  <ignoredErrors>
    <ignoredError sqref="G93 G104 G85 G20:G2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100" r:id="rId4" name="Button 76">
              <controlPr defaultSize="0" print="0" autoFill="0" autoPict="0" macro="[0]!PrintBioDieselProduction">
                <anchor moveWithCells="1" sizeWithCells="1">
                  <from>
                    <xdr:col>7</xdr:col>
                    <xdr:colOff>518160</xdr:colOff>
                    <xdr:row>0</xdr:row>
                    <xdr:rowOff>137160</xdr:rowOff>
                  </from>
                  <to>
                    <xdr:col>13</xdr:col>
                    <xdr:colOff>22860</xdr:colOff>
                    <xdr:row>2</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J51"/>
  <sheetViews>
    <sheetView showGridLines="0" zoomScaleNormal="100" workbookViewId="0">
      <selection activeCell="F45" sqref="F45"/>
    </sheetView>
  </sheetViews>
  <sheetFormatPr defaultRowHeight="13.2" x14ac:dyDescent="0.25"/>
  <cols>
    <col min="1" max="1" width="6" customWidth="1"/>
    <col min="2" max="2" width="35.109375" customWidth="1"/>
    <col min="3" max="3" width="14.44140625" customWidth="1"/>
    <col min="4" max="4" width="13.6640625" customWidth="1"/>
    <col min="5" max="5" width="2.88671875" customWidth="1"/>
    <col min="6" max="6" width="33.44140625" customWidth="1"/>
    <col min="7" max="7" width="13.44140625" customWidth="1"/>
    <col min="8" max="8" width="13.6640625" customWidth="1"/>
  </cols>
  <sheetData>
    <row r="1" spans="1:9" ht="17.399999999999999" x14ac:dyDescent="0.3">
      <c r="B1" s="8" t="s">
        <v>154</v>
      </c>
    </row>
    <row r="2" spans="1:9" ht="17.399999999999999" x14ac:dyDescent="0.3">
      <c r="B2" s="8"/>
    </row>
    <row r="3" spans="1:9" ht="15" customHeight="1" x14ac:dyDescent="0.3">
      <c r="B3" s="8"/>
      <c r="C3" s="58" t="s">
        <v>155</v>
      </c>
      <c r="D3" s="58" t="s">
        <v>156</v>
      </c>
      <c r="G3" s="58" t="s">
        <v>155</v>
      </c>
      <c r="H3" s="58" t="s">
        <v>156</v>
      </c>
    </row>
    <row r="4" spans="1:9" x14ac:dyDescent="0.25">
      <c r="B4" s="54" t="s">
        <v>157</v>
      </c>
      <c r="C4" s="57">
        <f>'Oilseed Crushing'!H25</f>
        <v>5</v>
      </c>
      <c r="D4" s="57">
        <f>'Oilseed Crushing'!I25</f>
        <v>10</v>
      </c>
      <c r="G4" s="57">
        <f t="shared" ref="G4:H7" si="0">+C4</f>
        <v>5</v>
      </c>
      <c r="H4" s="57">
        <f t="shared" si="0"/>
        <v>10</v>
      </c>
    </row>
    <row r="5" spans="1:9" x14ac:dyDescent="0.25">
      <c r="B5" s="54" t="s">
        <v>158</v>
      </c>
      <c r="C5" s="57">
        <f>+'Biodiesel Production'!F12</f>
        <v>40</v>
      </c>
      <c r="D5" s="57">
        <f>+'Biodiesel Production'!G12</f>
        <v>80</v>
      </c>
      <c r="G5" s="57">
        <f t="shared" si="0"/>
        <v>40</v>
      </c>
      <c r="H5" s="57">
        <f t="shared" si="0"/>
        <v>80</v>
      </c>
    </row>
    <row r="6" spans="1:9" x14ac:dyDescent="0.25">
      <c r="B6" s="54" t="s">
        <v>238</v>
      </c>
      <c r="C6" s="57">
        <f>+'Biodiesel Production'!F13</f>
        <v>50</v>
      </c>
      <c r="D6" s="57">
        <f>+'Biodiesel Production'!G13</f>
        <v>50</v>
      </c>
      <c r="G6" s="57">
        <f>+C6</f>
        <v>50</v>
      </c>
      <c r="H6" s="57">
        <f>+D6</f>
        <v>50</v>
      </c>
    </row>
    <row r="7" spans="1:9" x14ac:dyDescent="0.25">
      <c r="B7" s="54" t="s">
        <v>313</v>
      </c>
      <c r="C7" s="219">
        <f>+'Oilseed Crushing'!H35</f>
        <v>6820.8</v>
      </c>
      <c r="D7" s="219">
        <f>+'Oilseed Crushing'!I35</f>
        <v>7199.7333333333336</v>
      </c>
      <c r="G7" s="220">
        <f t="shared" si="0"/>
        <v>6820.8</v>
      </c>
      <c r="H7" s="220">
        <f t="shared" si="0"/>
        <v>7199.7333333333336</v>
      </c>
    </row>
    <row r="8" spans="1:9" x14ac:dyDescent="0.25">
      <c r="B8" s="54" t="s">
        <v>312</v>
      </c>
      <c r="C8" s="57">
        <f>+C6+C7</f>
        <v>6870.8</v>
      </c>
      <c r="D8" s="57">
        <f>+D6+D7</f>
        <v>7249.7333333333336</v>
      </c>
      <c r="G8" s="208">
        <f>+C8</f>
        <v>6870.8</v>
      </c>
      <c r="H8" s="208">
        <f>+D8</f>
        <v>7249.7333333333336</v>
      </c>
    </row>
    <row r="10" spans="1:9" ht="13.8" x14ac:dyDescent="0.25">
      <c r="A10" s="201" t="s">
        <v>84</v>
      </c>
      <c r="B10" s="246" t="s">
        <v>278</v>
      </c>
      <c r="C10" s="247"/>
      <c r="D10" s="248"/>
      <c r="F10" s="246" t="s">
        <v>277</v>
      </c>
      <c r="G10" s="247"/>
      <c r="H10" s="248"/>
      <c r="I10" s="201" t="s">
        <v>84</v>
      </c>
    </row>
    <row r="11" spans="1:9" x14ac:dyDescent="0.25">
      <c r="C11" s="2" t="s">
        <v>60</v>
      </c>
      <c r="D11" s="2" t="s">
        <v>61</v>
      </c>
      <c r="G11" s="2" t="s">
        <v>60</v>
      </c>
      <c r="H11" s="2" t="s">
        <v>61</v>
      </c>
    </row>
    <row r="12" spans="1:9" ht="60" customHeight="1" x14ac:dyDescent="0.25">
      <c r="B12" s="18"/>
      <c r="C12" s="28" t="s">
        <v>63</v>
      </c>
      <c r="D12" s="28" t="s">
        <v>62</v>
      </c>
      <c r="G12" s="28" t="s">
        <v>63</v>
      </c>
      <c r="H12" s="28" t="s">
        <v>62</v>
      </c>
    </row>
    <row r="13" spans="1:9" x14ac:dyDescent="0.25">
      <c r="B13" s="1" t="s">
        <v>66</v>
      </c>
      <c r="C13" s="20"/>
      <c r="D13" s="20"/>
      <c r="F13" s="1" t="s">
        <v>73</v>
      </c>
      <c r="G13" s="20"/>
      <c r="H13" s="20"/>
    </row>
    <row r="14" spans="1:9" x14ac:dyDescent="0.25">
      <c r="B14" s="7" t="s">
        <v>98</v>
      </c>
      <c r="C14" s="202">
        <f>+'Oilseed Crushing'!H126</f>
        <v>14951.279999999999</v>
      </c>
      <c r="D14" s="202">
        <f>+'Oilseed Crushing'!I126</f>
        <v>14610.240000000003</v>
      </c>
      <c r="F14" s="7" t="s">
        <v>254</v>
      </c>
      <c r="G14" s="202">
        <f>'Oilseed Crushing'!$H$128</f>
        <v>18938.287999999997</v>
      </c>
      <c r="H14" s="202">
        <f>'Oilseed Crushing'!$I$128</f>
        <v>18506.304000000004</v>
      </c>
    </row>
    <row r="15" spans="1:9" x14ac:dyDescent="0.25">
      <c r="B15" s="7" t="s">
        <v>213</v>
      </c>
      <c r="C15" s="202">
        <f>+'Biodiesel Production'!F132</f>
        <v>61.837199999999996</v>
      </c>
      <c r="D15" s="202">
        <f>+'Biodiesel Production'!G132</f>
        <v>65.247600000000006</v>
      </c>
      <c r="F15" s="7" t="s">
        <v>213</v>
      </c>
      <c r="G15" s="202">
        <f>+IncomeExp_CashFlow!C15</f>
        <v>61.837199999999996</v>
      </c>
      <c r="H15" s="202">
        <f>+IncomeExp_CashFlow!D15</f>
        <v>65.247600000000006</v>
      </c>
    </row>
    <row r="16" spans="1:9" x14ac:dyDescent="0.25">
      <c r="B16" s="7" t="s">
        <v>64</v>
      </c>
      <c r="C16" s="202">
        <f>+'Biodiesel Production'!F129</f>
        <v>687.08</v>
      </c>
      <c r="D16" s="202">
        <f>+'Biodiesel Production'!G129</f>
        <v>724.97333333333336</v>
      </c>
      <c r="F16" s="7" t="s">
        <v>64</v>
      </c>
      <c r="G16" s="202">
        <f>+IncomeExp_CashFlow!C16</f>
        <v>687.08</v>
      </c>
      <c r="H16" s="202">
        <f>+IncomeExp_CashFlow!D16</f>
        <v>724.97333333333336</v>
      </c>
    </row>
    <row r="17" spans="1:10" x14ac:dyDescent="0.25">
      <c r="B17" s="66" t="s">
        <v>302</v>
      </c>
      <c r="C17" s="202">
        <f>+'Biodiesel Production'!F15*'Biodiesel Production'!F152</f>
        <v>27414.492000000002</v>
      </c>
      <c r="D17" s="202">
        <f>+'Biodiesel Production'!G152*'Biodiesel Production'!G15</f>
        <v>28926.436000000002</v>
      </c>
      <c r="F17" s="66" t="s">
        <v>302</v>
      </c>
      <c r="G17" s="202">
        <f>+IncomeExp_CashFlow!C17</f>
        <v>27414.492000000002</v>
      </c>
      <c r="H17" s="202">
        <f>+IncomeExp_CashFlow!D17</f>
        <v>28926.436000000002</v>
      </c>
    </row>
    <row r="18" spans="1:10" x14ac:dyDescent="0.25">
      <c r="B18" s="9" t="s">
        <v>69</v>
      </c>
      <c r="C18" s="203">
        <f>SUM(C14:C17)</f>
        <v>43114.689200000001</v>
      </c>
      <c r="D18" s="203">
        <f>SUM(D14:D17)</f>
        <v>44326.896933333337</v>
      </c>
      <c r="F18" s="9" t="s">
        <v>74</v>
      </c>
      <c r="G18" s="203">
        <f>SUM(G14:G17)</f>
        <v>47101.697200000002</v>
      </c>
      <c r="H18" s="203">
        <f>SUM(H14:H17)</f>
        <v>48222.960933333336</v>
      </c>
    </row>
    <row r="19" spans="1:10" x14ac:dyDescent="0.25">
      <c r="B19" s="9" t="s">
        <v>303</v>
      </c>
      <c r="C19" s="215">
        <f>+C18/C7</f>
        <v>6.3210604621158808</v>
      </c>
      <c r="D19" s="215">
        <f>+D18/D7</f>
        <v>6.1567414904255715</v>
      </c>
      <c r="F19" s="9" t="s">
        <v>303</v>
      </c>
      <c r="G19" s="215">
        <f>+G18/G8</f>
        <v>6.8553439483029637</v>
      </c>
      <c r="H19" s="215">
        <f>+H18/H8</f>
        <v>6.6516875471281702</v>
      </c>
    </row>
    <row r="20" spans="1:10" x14ac:dyDescent="0.25">
      <c r="B20" s="1"/>
      <c r="C20" s="64"/>
      <c r="D20" s="204"/>
      <c r="F20" s="1"/>
      <c r="G20" s="64"/>
      <c r="H20" s="204"/>
    </row>
    <row r="21" spans="1:10" x14ac:dyDescent="0.25">
      <c r="B21" s="1" t="s">
        <v>65</v>
      </c>
      <c r="C21" s="64"/>
      <c r="D21" s="64"/>
      <c r="F21" s="1" t="s">
        <v>72</v>
      </c>
      <c r="G21" s="64"/>
      <c r="H21" s="64"/>
    </row>
    <row r="22" spans="1:10" x14ac:dyDescent="0.25">
      <c r="B22" s="10" t="s">
        <v>255</v>
      </c>
      <c r="C22" s="202">
        <f>+'Oilseed Crushing'!Q19</f>
        <v>28000</v>
      </c>
      <c r="D22" s="202">
        <f>+C22</f>
        <v>28000</v>
      </c>
      <c r="F22" s="10" t="s">
        <v>256</v>
      </c>
      <c r="G22" s="202">
        <f>+'Oilseed Crushing'!R20</f>
        <v>35500</v>
      </c>
      <c r="H22" s="202">
        <f>+G22</f>
        <v>35500</v>
      </c>
    </row>
    <row r="23" spans="1:10" x14ac:dyDescent="0.25">
      <c r="B23" s="56" t="s">
        <v>67</v>
      </c>
      <c r="C23" s="202"/>
      <c r="D23" s="202"/>
      <c r="F23" s="56" t="s">
        <v>67</v>
      </c>
      <c r="G23" s="202"/>
      <c r="H23" s="202"/>
    </row>
    <row r="24" spans="1:10" x14ac:dyDescent="0.25">
      <c r="B24" s="10" t="s">
        <v>151</v>
      </c>
      <c r="C24" s="202">
        <f>'Oilseed Crushing'!H65</f>
        <v>1280.0446767442656</v>
      </c>
      <c r="D24" s="202">
        <f>'Oilseed Crushing'!I65</f>
        <v>2182.1877979466799</v>
      </c>
      <c r="F24" s="10" t="s">
        <v>151</v>
      </c>
      <c r="G24" s="206"/>
      <c r="H24" s="206"/>
    </row>
    <row r="25" spans="1:10" x14ac:dyDescent="0.25">
      <c r="B25" s="10" t="s">
        <v>152</v>
      </c>
      <c r="C25" s="202">
        <f>'Oilseed Crushing'!H66</f>
        <v>557.625</v>
      </c>
      <c r="D25" s="202">
        <f>'Oilseed Crushing'!I66</f>
        <v>950.625</v>
      </c>
      <c r="F25" s="10" t="s">
        <v>152</v>
      </c>
      <c r="G25" s="207">
        <f>+C25</f>
        <v>557.625</v>
      </c>
      <c r="H25" s="207">
        <f>+D25</f>
        <v>950.625</v>
      </c>
    </row>
    <row r="26" spans="1:10" x14ac:dyDescent="0.25">
      <c r="B26" s="10" t="s">
        <v>194</v>
      </c>
      <c r="C26" s="202">
        <f>'Oilseed Crushing'!$H$93</f>
        <v>327.94233454545451</v>
      </c>
      <c r="D26" s="202">
        <f>'Oilseed Crushing'!$I$93</f>
        <v>420.85740370370371</v>
      </c>
      <c r="F26" s="10" t="s">
        <v>194</v>
      </c>
      <c r="G26" s="202">
        <f>'Oilseed Crushing'!$H$93</f>
        <v>327.94233454545451</v>
      </c>
      <c r="H26" s="202">
        <f>'Oilseed Crushing'!$I$93</f>
        <v>420.85740370370371</v>
      </c>
    </row>
    <row r="27" spans="1:10" x14ac:dyDescent="0.25">
      <c r="A27" s="201" t="s">
        <v>84</v>
      </c>
      <c r="B27" s="10" t="s">
        <v>195</v>
      </c>
      <c r="C27" s="202">
        <f>'Oilseed Crushing'!$H$79*'Oilseed Crushing'!$H$77</f>
        <v>0</v>
      </c>
      <c r="D27" s="202">
        <f>'Oilseed Crushing'!$I$79*'Oilseed Crushing'!$I$77</f>
        <v>0</v>
      </c>
      <c r="F27" s="10" t="s">
        <v>195</v>
      </c>
      <c r="G27" s="202">
        <f>'Oilseed Crushing'!$H$79</f>
        <v>3552</v>
      </c>
      <c r="H27" s="202">
        <f>'Oilseed Crushing'!$I$79</f>
        <v>1776</v>
      </c>
      <c r="I27" s="201" t="s">
        <v>84</v>
      </c>
      <c r="J27" s="37"/>
    </row>
    <row r="28" spans="1:10" x14ac:dyDescent="0.25">
      <c r="B28" s="56" t="s">
        <v>68</v>
      </c>
      <c r="C28" s="202"/>
      <c r="D28" s="202"/>
      <c r="F28" s="56" t="s">
        <v>68</v>
      </c>
      <c r="G28" s="202"/>
      <c r="H28" s="202"/>
    </row>
    <row r="29" spans="1:10" x14ac:dyDescent="0.25">
      <c r="B29" s="10" t="s">
        <v>151</v>
      </c>
      <c r="C29" s="202">
        <f>'Biodiesel Production'!F66</f>
        <v>594.91432148842307</v>
      </c>
      <c r="D29" s="205">
        <f>'Biodiesel Production'!G66</f>
        <v>1024.2939884720925</v>
      </c>
      <c r="F29" s="10" t="s">
        <v>151</v>
      </c>
      <c r="G29" s="206"/>
      <c r="H29" s="206"/>
    </row>
    <row r="30" spans="1:10" x14ac:dyDescent="0.25">
      <c r="B30" s="10" t="s">
        <v>152</v>
      </c>
      <c r="C30" s="202">
        <f>'Biodiesel Production'!F67</f>
        <v>259.162125</v>
      </c>
      <c r="D30" s="205">
        <f>'Biodiesel Production'!G67</f>
        <v>446.21249999999992</v>
      </c>
      <c r="F30" s="10" t="s">
        <v>152</v>
      </c>
      <c r="G30" s="207">
        <f>+C30</f>
        <v>259.162125</v>
      </c>
      <c r="H30" s="207">
        <f>+D30</f>
        <v>446.21249999999992</v>
      </c>
    </row>
    <row r="31" spans="1:10" x14ac:dyDescent="0.25">
      <c r="B31" s="10" t="s">
        <v>194</v>
      </c>
      <c r="C31" s="202">
        <f>'Biodiesel Production'!$F$117-'Biodiesel Production'!$F$104</f>
        <v>8470.3549537283252</v>
      </c>
      <c r="D31" s="202">
        <f>'Biodiesel Production'!$G$117-'Biodiesel Production'!$G$104</f>
        <v>8600.2659068406574</v>
      </c>
      <c r="F31" s="10" t="s">
        <v>194</v>
      </c>
      <c r="G31" s="202">
        <f>'Biodiesel Production'!$F$117-'Biodiesel Production'!$F$104</f>
        <v>8470.3549537283252</v>
      </c>
      <c r="H31" s="202">
        <f>'Biodiesel Production'!$G$117-'Biodiesel Production'!$G$104</f>
        <v>8600.2659068406574</v>
      </c>
    </row>
    <row r="32" spans="1:10" x14ac:dyDescent="0.25">
      <c r="B32" s="10" t="s">
        <v>195</v>
      </c>
      <c r="C32" s="202">
        <f>'Biodiesel Production'!$F$104*'Biodiesel Production'!$F$102</f>
        <v>0</v>
      </c>
      <c r="D32" s="202">
        <f>'Biodiesel Production'!$G$104*'Biodiesel Production'!$G$102</f>
        <v>0</v>
      </c>
      <c r="F32" s="10" t="s">
        <v>195</v>
      </c>
      <c r="G32" s="202">
        <f>'Biodiesel Production'!$F$104</f>
        <v>4122.4800000000005</v>
      </c>
      <c r="H32" s="202">
        <f>'Biodiesel Production'!$G$104</f>
        <v>2899.8933333333334</v>
      </c>
      <c r="I32" s="201" t="s">
        <v>84</v>
      </c>
    </row>
    <row r="33" spans="1:8" x14ac:dyDescent="0.25">
      <c r="B33" s="10" t="s">
        <v>301</v>
      </c>
      <c r="C33" s="202">
        <f>+('Biodiesel Production'!F141+'Biodiesel Production'!F142)*IncomeExp_CashFlow!C7</f>
        <v>3608.2031999999995</v>
      </c>
      <c r="D33" s="202">
        <f>('Biodiesel Production'!G141+'Biodiesel Production'!G142)*IncomeExp_CashFlow!D7</f>
        <v>3808.6589333333327</v>
      </c>
      <c r="F33" s="10" t="s">
        <v>301</v>
      </c>
      <c r="G33" s="202">
        <f>+C33</f>
        <v>3608.2031999999995</v>
      </c>
      <c r="H33" s="202">
        <f>+D33</f>
        <v>3808.6589333333327</v>
      </c>
    </row>
    <row r="34" spans="1:8" x14ac:dyDescent="0.25">
      <c r="B34" s="73" t="s">
        <v>280</v>
      </c>
      <c r="C34" s="203">
        <f>SUM(C22:C33)</f>
        <v>43098.246611506467</v>
      </c>
      <c r="D34" s="203">
        <f>SUM(D22:D33)</f>
        <v>45433.101530296466</v>
      </c>
      <c r="F34" s="74" t="s">
        <v>75</v>
      </c>
      <c r="G34" s="203">
        <f>SUM(G22:G33)</f>
        <v>56397.767613273783</v>
      </c>
      <c r="H34" s="203">
        <f>SUM(H22:H33)</f>
        <v>54402.513077211028</v>
      </c>
    </row>
    <row r="35" spans="1:8" x14ac:dyDescent="0.25">
      <c r="C35" s="21"/>
      <c r="D35" s="21"/>
      <c r="G35" s="21"/>
      <c r="H35" s="21"/>
    </row>
    <row r="36" spans="1:8" x14ac:dyDescent="0.25">
      <c r="B36" s="7" t="s">
        <v>279</v>
      </c>
      <c r="C36" s="27"/>
      <c r="D36" s="27"/>
      <c r="F36" s="66" t="s">
        <v>267</v>
      </c>
      <c r="G36" s="202">
        <f>+'Oilseed Crushing'!H69+'Biodiesel Production'!F70</f>
        <v>1555.7849999999999</v>
      </c>
      <c r="H36" s="202">
        <f>+'Oilseed Crushing'!I69+'Biodiesel Production'!G70</f>
        <v>2660.6428571428573</v>
      </c>
    </row>
    <row r="37" spans="1:8" x14ac:dyDescent="0.25">
      <c r="B37" s="9" t="s">
        <v>153</v>
      </c>
      <c r="C37" s="203">
        <f>SUM(C22:C33)</f>
        <v>43098.246611506467</v>
      </c>
      <c r="D37" s="203">
        <f>SUM(D22:D33)</f>
        <v>45433.101530296466</v>
      </c>
      <c r="F37" s="9" t="s">
        <v>76</v>
      </c>
      <c r="G37" s="203">
        <f>+G34+G36</f>
        <v>57953.552613273787</v>
      </c>
      <c r="H37" s="203">
        <f>+H34+H36</f>
        <v>57063.155934353883</v>
      </c>
    </row>
    <row r="38" spans="1:8" x14ac:dyDescent="0.25">
      <c r="A38" s="201" t="s">
        <v>84</v>
      </c>
      <c r="B38" s="9" t="s">
        <v>281</v>
      </c>
      <c r="C38" s="215">
        <f>C37/C8</f>
        <v>6.2726679006093127</v>
      </c>
      <c r="D38" s="215">
        <f>D37/D8</f>
        <v>6.266865199220633</v>
      </c>
      <c r="F38" s="9" t="s">
        <v>283</v>
      </c>
      <c r="G38" s="215">
        <f>+G37/G8</f>
        <v>8.4347605247240178</v>
      </c>
      <c r="H38" s="215">
        <f>+H37/H8</f>
        <v>7.8710696394838271</v>
      </c>
    </row>
    <row r="39" spans="1:8" x14ac:dyDescent="0.25">
      <c r="C39" s="21"/>
      <c r="D39" s="21"/>
      <c r="G39" s="21"/>
      <c r="H39" s="21"/>
    </row>
    <row r="40" spans="1:8" x14ac:dyDescent="0.25">
      <c r="C40" s="21"/>
      <c r="D40" s="21"/>
      <c r="G40" s="21"/>
      <c r="H40" s="21"/>
    </row>
    <row r="41" spans="1:8" x14ac:dyDescent="0.25">
      <c r="B41" s="9" t="s">
        <v>70</v>
      </c>
      <c r="C41" s="203">
        <f>+C18-C37</f>
        <v>16.442588493533549</v>
      </c>
      <c r="D41" s="203">
        <f>+D18-D37</f>
        <v>-1106.204596963129</v>
      </c>
      <c r="F41" s="9" t="s">
        <v>215</v>
      </c>
      <c r="G41" s="203">
        <f>G18-G37</f>
        <v>-10851.855413273785</v>
      </c>
      <c r="H41" s="203">
        <f>H18-H37</f>
        <v>-8840.1950010205474</v>
      </c>
    </row>
    <row r="42" spans="1:8" x14ac:dyDescent="0.25">
      <c r="B42" s="9" t="s">
        <v>282</v>
      </c>
      <c r="C42" s="215">
        <f>C41/C8</f>
        <v>2.3931112088160836E-3</v>
      </c>
      <c r="D42" s="215">
        <f>D41/D8</f>
        <v>-0.15258555675102473</v>
      </c>
      <c r="F42" s="216" t="s">
        <v>284</v>
      </c>
      <c r="G42" s="217">
        <f>G41/G8</f>
        <v>-1.579416576421055</v>
      </c>
      <c r="H42" s="217">
        <f>H41/H8</f>
        <v>-1.2193820923556564</v>
      </c>
    </row>
    <row r="44" spans="1:8" ht="17.399999999999999" x14ac:dyDescent="0.3">
      <c r="B44" s="71" t="s">
        <v>268</v>
      </c>
      <c r="C44" s="214"/>
      <c r="G44" s="21"/>
    </row>
    <row r="45" spans="1:8" x14ac:dyDescent="0.25">
      <c r="B45" s="69" t="s">
        <v>269</v>
      </c>
      <c r="D45" s="21"/>
      <c r="F45" s="37"/>
    </row>
    <row r="46" spans="1:8" x14ac:dyDescent="0.25">
      <c r="B46" t="s">
        <v>214</v>
      </c>
    </row>
    <row r="47" spans="1:8" x14ac:dyDescent="0.25">
      <c r="C47" s="214"/>
    </row>
    <row r="49" spans="2:3" x14ac:dyDescent="0.25">
      <c r="B49" t="s">
        <v>315</v>
      </c>
    </row>
    <row r="50" spans="2:3" x14ac:dyDescent="0.25">
      <c r="C50" s="21"/>
    </row>
    <row r="51" spans="2:3" x14ac:dyDescent="0.25">
      <c r="C51" s="21"/>
    </row>
  </sheetData>
  <sheetProtection sheet="1" objects="1" scenarios="1" formatCells="0" formatColumns="0" formatRows="0"/>
  <mergeCells count="2">
    <mergeCell ref="B10:D10"/>
    <mergeCell ref="F10:H10"/>
  </mergeCells>
  <phoneticPr fontId="4" type="noConversion"/>
  <conditionalFormatting sqref="G42:H42 C42:D42">
    <cfRule type="cellIs" dxfId="0" priority="1" stopIfTrue="1" operator="lessThan">
      <formula>0</formula>
    </cfRule>
  </conditionalFormatting>
  <hyperlinks>
    <hyperlink ref="B45" r:id="rId1"/>
  </hyperlinks>
  <pageMargins left="0.5" right="0.5" top="0.5" bottom="0.5" header="0.5" footer="0.5"/>
  <pageSetup scale="84" orientation="landscape" horizontalDpi="300" verticalDpi="300" r:id="rId2"/>
  <headerFooter alignWithMargins="0"/>
  <rowBreaks count="1" manualBreakCount="1">
    <brk id="41" max="16383" man="1"/>
  </rowBreaks>
  <ignoredErrors>
    <ignoredError sqref="H41 H37 D41"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3077" r:id="rId5" name="Button 5">
              <controlPr defaultSize="0" print="0" autoFill="0" autoPict="0" macro="[0]!PrintCashFlowIncomeExpense">
                <anchor moveWithCells="1" sizeWithCells="1">
                  <from>
                    <xdr:col>8</xdr:col>
                    <xdr:colOff>563880</xdr:colOff>
                    <xdr:row>0</xdr:row>
                    <xdr:rowOff>152400</xdr:rowOff>
                  </from>
                  <to>
                    <xdr:col>11</xdr:col>
                    <xdr:colOff>594360</xdr:colOff>
                    <xdr:row>3</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Instructions</vt:lpstr>
      <vt:lpstr>Oilseed Crushing</vt:lpstr>
      <vt:lpstr>Biodiesel Production</vt:lpstr>
      <vt:lpstr>IncomeExp_CashFlow</vt:lpstr>
    </vt:vector>
  </TitlesOfParts>
  <Company>MSU Ag-Econ/Econ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jschumacher</dc:creator>
  <cp:lastModifiedBy>Hayes, Keri</cp:lastModifiedBy>
  <cp:lastPrinted>2008-02-05T20:31:33Z</cp:lastPrinted>
  <dcterms:created xsi:type="dcterms:W3CDTF">2006-12-11T17:38:12Z</dcterms:created>
  <dcterms:modified xsi:type="dcterms:W3CDTF">2015-05-21T19:26:23Z</dcterms:modified>
</cp:coreProperties>
</file>